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filterPrivacy="1"/>
  <xr:revisionPtr revIDLastSave="0" documentId="13_ncr:1_{6E839E87-BAFF-4962-8F84-B7F526D6225E}" xr6:coauthVersionLast="36" xr6:coauthVersionMax="36" xr10:uidLastSave="{00000000-0000-0000-0000-000000000000}"/>
  <bookViews>
    <workbookView xWindow="-14325" yWindow="5850" windowWidth="28800" windowHeight="15435" activeTab="3" xr2:uid="{00000000-000D-0000-FFFF-FFFF00000000}"/>
  </bookViews>
  <sheets>
    <sheet name="Core Parameters" sheetId="5" r:id="rId1"/>
    <sheet name="Calculation" sheetId="1" r:id="rId2"/>
    <sheet name="Sh" sheetId="4" r:id="rId3"/>
    <sheet name="Perm" sheetId="3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F29" i="4" l="1"/>
  <c r="F28" i="4"/>
  <c r="F26" i="4"/>
  <c r="F27" i="4"/>
  <c r="F25" i="4"/>
  <c r="F24" i="4"/>
  <c r="F23" i="4"/>
  <c r="D27" i="4"/>
  <c r="D28" i="4" s="1"/>
  <c r="D29" i="4" s="1"/>
  <c r="D30" i="4" s="1"/>
  <c r="D26" i="4"/>
  <c r="D25" i="4"/>
  <c r="B26" i="4"/>
  <c r="B25" i="4"/>
  <c r="B29" i="4"/>
  <c r="B28" i="4"/>
  <c r="B6" i="4" l="1"/>
  <c r="F19" i="1" l="1"/>
  <c r="F18" i="1"/>
  <c r="N5" i="1" l="1"/>
  <c r="N6" i="1"/>
  <c r="N7" i="1"/>
  <c r="N8" i="1"/>
  <c r="N9" i="1"/>
  <c r="N10" i="1"/>
  <c r="N11" i="1"/>
  <c r="N12" i="1"/>
  <c r="N4" i="1"/>
  <c r="J22" i="1" l="1"/>
  <c r="K22" i="1" s="1"/>
  <c r="B19" i="1" l="1"/>
  <c r="B18" i="1"/>
  <c r="C38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39" i="1"/>
  <c r="B38" i="1"/>
  <c r="B20" i="1"/>
  <c r="D38" i="1" l="1"/>
  <c r="S5" i="1"/>
  <c r="S6" i="1"/>
  <c r="R5" i="1"/>
  <c r="R6" i="1"/>
  <c r="Q5" i="1"/>
  <c r="Q6" i="1"/>
  <c r="E5" i="1"/>
  <c r="E6" i="1"/>
  <c r="P5" i="1"/>
  <c r="P6" i="1"/>
  <c r="O5" i="1"/>
  <c r="O6" i="1"/>
  <c r="X6" i="1" s="1"/>
  <c r="Y6" i="1" s="1"/>
  <c r="E20" i="1" s="1"/>
  <c r="X5" i="1" l="1"/>
  <c r="Y5" i="1" s="1"/>
  <c r="E19" i="1" s="1"/>
  <c r="Z5" i="1"/>
  <c r="AA5" i="1" s="1"/>
  <c r="AB5" i="1"/>
  <c r="AC5" i="1" s="1"/>
  <c r="AD5" i="1"/>
  <c r="AE5" i="1" s="1"/>
  <c r="AB6" i="1"/>
  <c r="AC6" i="1" s="1"/>
  <c r="Z6" i="1"/>
  <c r="AA6" i="1" s="1"/>
  <c r="AD6" i="1"/>
  <c r="AE6" i="1" s="1"/>
  <c r="V6" i="1"/>
  <c r="T6" i="1"/>
  <c r="V5" i="1"/>
  <c r="T5" i="1"/>
  <c r="U5" i="1" s="1"/>
  <c r="K8" i="5"/>
  <c r="K7" i="5"/>
  <c r="W5" i="1" l="1"/>
  <c r="D19" i="1" s="1"/>
  <c r="C19" i="1"/>
  <c r="U6" i="1"/>
  <c r="N7" i="5"/>
  <c r="W6" i="1" l="1"/>
  <c r="D20" i="1" s="1"/>
  <c r="C20" i="1"/>
  <c r="R12" i="1"/>
  <c r="N6" i="5"/>
  <c r="F2" i="5"/>
  <c r="F3" i="5" s="1"/>
  <c r="F5" i="5"/>
  <c r="F4" i="5"/>
  <c r="D4" i="5"/>
  <c r="D2" i="5"/>
  <c r="D3" i="5" s="1"/>
  <c r="D7" i="5" s="1"/>
  <c r="K6" i="5"/>
  <c r="I4" i="5"/>
  <c r="D5" i="5"/>
  <c r="B3" i="5"/>
  <c r="B7" i="5" s="1"/>
  <c r="F20" i="1" l="1"/>
  <c r="F7" i="5"/>
  <c r="F6" i="5"/>
  <c r="B6" i="5"/>
  <c r="D6" i="5"/>
  <c r="N8" i="5" l="1"/>
  <c r="B8" i="5" l="1"/>
  <c r="R7" i="1"/>
  <c r="S7" i="1"/>
  <c r="R8" i="1"/>
  <c r="S8" i="1"/>
  <c r="R9" i="1"/>
  <c r="S9" i="1"/>
  <c r="R10" i="1"/>
  <c r="S10" i="1"/>
  <c r="R11" i="1"/>
  <c r="S11" i="1"/>
  <c r="S12" i="1"/>
  <c r="R4" i="1"/>
  <c r="S4" i="1"/>
  <c r="Q7" i="1"/>
  <c r="Q8" i="1"/>
  <c r="Q9" i="1"/>
  <c r="Q10" i="1"/>
  <c r="Q11" i="1"/>
  <c r="Q12" i="1"/>
  <c r="Q4" i="1"/>
  <c r="P7" i="1"/>
  <c r="P8" i="1"/>
  <c r="P9" i="1"/>
  <c r="P10" i="1"/>
  <c r="P11" i="1"/>
  <c r="P12" i="1"/>
  <c r="P4" i="1"/>
  <c r="O7" i="1"/>
  <c r="O8" i="1"/>
  <c r="X8" i="1" s="1"/>
  <c r="Y8" i="1" s="1"/>
  <c r="E22" i="1" s="1"/>
  <c r="O9" i="1"/>
  <c r="X9" i="1" s="1"/>
  <c r="Y9" i="1" s="1"/>
  <c r="E23" i="1" s="1"/>
  <c r="O10" i="1"/>
  <c r="X10" i="1" s="1"/>
  <c r="Y10" i="1" s="1"/>
  <c r="E24" i="1" s="1"/>
  <c r="O11" i="1"/>
  <c r="O12" i="1"/>
  <c r="X12" i="1" s="1"/>
  <c r="Y12" i="1" s="1"/>
  <c r="E26" i="1" s="1"/>
  <c r="O4" i="1"/>
  <c r="B11" i="4"/>
  <c r="J8" i="4"/>
  <c r="H7" i="4"/>
  <c r="H9" i="4" s="1"/>
  <c r="J5" i="4"/>
  <c r="J7" i="4" s="1"/>
  <c r="B3" i="4"/>
  <c r="B2" i="4"/>
  <c r="B4" i="4" s="1"/>
  <c r="B5" i="4" s="1"/>
  <c r="B13" i="4" s="1"/>
  <c r="B14" i="4" s="1"/>
  <c r="M17" i="3"/>
  <c r="L17" i="3"/>
  <c r="D17" i="3"/>
  <c r="M16" i="3"/>
  <c r="M15" i="3"/>
  <c r="L15" i="3"/>
  <c r="M14" i="3"/>
  <c r="L14" i="3"/>
  <c r="M13" i="3"/>
  <c r="N9" i="3"/>
  <c r="M9" i="3"/>
  <c r="J9" i="3"/>
  <c r="N8" i="3"/>
  <c r="J8" i="3"/>
  <c r="N7" i="3"/>
  <c r="M7" i="3"/>
  <c r="J7" i="3"/>
  <c r="D7" i="3"/>
  <c r="N6" i="3"/>
  <c r="M6" i="3"/>
  <c r="J6" i="3"/>
  <c r="D6" i="3"/>
  <c r="N5" i="3"/>
  <c r="L5" i="3"/>
  <c r="D5" i="3"/>
  <c r="D4" i="3"/>
  <c r="D2" i="3"/>
  <c r="X4" i="1" l="1"/>
  <c r="Y4" i="1" s="1"/>
  <c r="E18" i="1" s="1"/>
  <c r="X11" i="1"/>
  <c r="Y11" i="1" s="1"/>
  <c r="E25" i="1" s="1"/>
  <c r="Z4" i="1"/>
  <c r="AA4" i="1" s="1"/>
  <c r="AD4" i="1"/>
  <c r="AE4" i="1" s="1"/>
  <c r="AB4" i="1"/>
  <c r="AC4" i="1" s="1"/>
  <c r="AD12" i="1"/>
  <c r="AE12" i="1" s="1"/>
  <c r="Z12" i="1"/>
  <c r="AA12" i="1" s="1"/>
  <c r="AB12" i="1"/>
  <c r="AC12" i="1" s="1"/>
  <c r="AB10" i="1"/>
  <c r="AC10" i="1" s="1"/>
  <c r="AD10" i="1"/>
  <c r="AE10" i="1" s="1"/>
  <c r="Z10" i="1"/>
  <c r="AA10" i="1" s="1"/>
  <c r="AB11" i="1"/>
  <c r="AC11" i="1" s="1"/>
  <c r="AD11" i="1"/>
  <c r="AE11" i="1" s="1"/>
  <c r="Z11" i="1"/>
  <c r="AA11" i="1" s="1"/>
  <c r="Z9" i="1"/>
  <c r="AA9" i="1" s="1"/>
  <c r="AD9" i="1"/>
  <c r="AE9" i="1" s="1"/>
  <c r="AB9" i="1"/>
  <c r="AC9" i="1" s="1"/>
  <c r="AD8" i="1"/>
  <c r="AE8" i="1" s="1"/>
  <c r="AB8" i="1"/>
  <c r="AC8" i="1" s="1"/>
  <c r="Z8" i="1"/>
  <c r="AA8" i="1" s="1"/>
  <c r="AB7" i="1"/>
  <c r="AC7" i="1" s="1"/>
  <c r="Z7" i="1"/>
  <c r="AA7" i="1" s="1"/>
  <c r="X7" i="1"/>
  <c r="Y7" i="1" s="1"/>
  <c r="E21" i="1" s="1"/>
  <c r="AD7" i="1"/>
  <c r="AE7" i="1" s="1"/>
  <c r="V9" i="1"/>
  <c r="W9" i="1" s="1"/>
  <c r="D23" i="1" s="1"/>
  <c r="T9" i="1"/>
  <c r="U9" i="1" s="1"/>
  <c r="C23" i="1" s="1"/>
  <c r="T7" i="1"/>
  <c r="U7" i="1" s="1"/>
  <c r="C21" i="1" s="1"/>
  <c r="V7" i="1"/>
  <c r="W7" i="1" s="1"/>
  <c r="D21" i="1" s="1"/>
  <c r="T8" i="1"/>
  <c r="U8" i="1" s="1"/>
  <c r="C22" i="1" s="1"/>
  <c r="V8" i="1"/>
  <c r="W8" i="1" s="1"/>
  <c r="D22" i="1" s="1"/>
  <c r="V12" i="1"/>
  <c r="W12" i="1" s="1"/>
  <c r="D26" i="1" s="1"/>
  <c r="T12" i="1"/>
  <c r="U12" i="1" s="1"/>
  <c r="C26" i="1" s="1"/>
  <c r="T10" i="1"/>
  <c r="U10" i="1" s="1"/>
  <c r="C24" i="1" s="1"/>
  <c r="V10" i="1"/>
  <c r="W10" i="1" s="1"/>
  <c r="D24" i="1" s="1"/>
  <c r="V4" i="1"/>
  <c r="W4" i="1" s="1"/>
  <c r="D18" i="1" s="1"/>
  <c r="T4" i="1"/>
  <c r="U4" i="1" s="1"/>
  <c r="C18" i="1" s="1"/>
  <c r="V11" i="1"/>
  <c r="W11" i="1" s="1"/>
  <c r="D25" i="1" s="1"/>
  <c r="T11" i="1"/>
  <c r="U11" i="1" s="1"/>
  <c r="C25" i="1" s="1"/>
  <c r="B9" i="5"/>
  <c r="D9" i="5"/>
  <c r="F9" i="5" s="1"/>
  <c r="J9" i="4"/>
  <c r="B17" i="4"/>
  <c r="B18" i="4" s="1"/>
  <c r="B19" i="4" s="1"/>
  <c r="B20" i="4" s="1"/>
  <c r="B15" i="4"/>
  <c r="B16" i="4" s="1"/>
  <c r="D3" i="3"/>
  <c r="N17" i="3" s="1"/>
  <c r="O9" i="3"/>
  <c r="B27" i="4" l="1"/>
  <c r="B30" i="4" s="1"/>
  <c r="O7" i="3"/>
  <c r="O6" i="3"/>
  <c r="G3" i="3"/>
  <c r="G4" i="3" s="1"/>
  <c r="O8" i="3"/>
  <c r="N14" i="3"/>
  <c r="N15" i="3"/>
  <c r="N16" i="3"/>
  <c r="O5" i="3"/>
  <c r="E7" i="1" l="1"/>
  <c r="E8" i="1"/>
  <c r="E9" i="1"/>
  <c r="E10" i="1"/>
  <c r="E11" i="1"/>
  <c r="E12" i="1"/>
  <c r="E4" i="1"/>
  <c r="A22" i="1" l="1"/>
  <c r="B22" i="1" s="1"/>
  <c r="A21" i="1"/>
  <c r="B21" i="1" s="1"/>
  <c r="A23" i="1" l="1"/>
  <c r="B23" i="1" s="1"/>
  <c r="A24" i="1" l="1"/>
  <c r="B24" i="1" s="1"/>
  <c r="A25" i="1" l="1"/>
  <c r="B25" i="1" s="1"/>
  <c r="A26" i="1" l="1"/>
  <c r="B26" i="1" s="1"/>
  <c r="B43" i="1" l="1"/>
  <c r="B51" i="1"/>
  <c r="B53" i="1"/>
  <c r="B54" i="1"/>
  <c r="B47" i="1"/>
  <c r="B44" i="1"/>
  <c r="B52" i="1"/>
  <c r="B45" i="1"/>
  <c r="B46" i="1"/>
  <c r="D46" i="1" s="1"/>
  <c r="E46" i="1" s="1"/>
  <c r="B39" i="1"/>
  <c r="B55" i="1"/>
  <c r="B50" i="1"/>
  <c r="B40" i="1"/>
  <c r="B48" i="1"/>
  <c r="B56" i="1"/>
  <c r="D56" i="1" s="1"/>
  <c r="E56" i="1" s="1"/>
  <c r="B41" i="1"/>
  <c r="B49" i="1"/>
  <c r="B57" i="1"/>
  <c r="D57" i="1" s="1"/>
  <c r="E57" i="1" s="1"/>
  <c r="B42" i="1"/>
  <c r="B58" i="1"/>
  <c r="D53" i="1" l="1"/>
  <c r="E53" i="1" s="1"/>
  <c r="D49" i="1"/>
  <c r="E49" i="1" s="1"/>
  <c r="D42" i="1"/>
  <c r="E42" i="1" s="1"/>
  <c r="D48" i="1"/>
  <c r="E48" i="1" s="1"/>
  <c r="D51" i="1"/>
  <c r="E51" i="1" s="1"/>
  <c r="D45" i="1"/>
  <c r="E45" i="1" s="1"/>
  <c r="D50" i="1"/>
  <c r="E50" i="1" s="1"/>
  <c r="D52" i="1"/>
  <c r="E52" i="1" s="1"/>
  <c r="D41" i="1"/>
  <c r="E41" i="1" s="1"/>
  <c r="D43" i="1"/>
  <c r="E43" i="1" s="1"/>
  <c r="D44" i="1"/>
  <c r="E44" i="1" s="1"/>
  <c r="D40" i="1"/>
  <c r="E40" i="1" s="1"/>
  <c r="E38" i="1"/>
  <c r="D47" i="1"/>
  <c r="E47" i="1" s="1"/>
  <c r="D58" i="1"/>
  <c r="E58" i="1" s="1"/>
  <c r="D55" i="1"/>
  <c r="E55" i="1" s="1"/>
  <c r="D39" i="1"/>
  <c r="E39" i="1" s="1"/>
  <c r="D54" i="1"/>
  <c r="E54" i="1" s="1"/>
</calcChain>
</file>

<file path=xl/sharedStrings.xml><?xml version="1.0" encoding="utf-8"?>
<sst xmlns="http://schemas.openxmlformats.org/spreadsheetml/2006/main" count="246" uniqueCount="151">
  <si>
    <t>Qw</t>
  </si>
  <si>
    <t>Qg (sccm)</t>
  </si>
  <si>
    <t>Qg (ml/min)</t>
  </si>
  <si>
    <t>Flow rate</t>
  </si>
  <si>
    <t>fw_actual</t>
  </si>
  <si>
    <t>fw goal</t>
  </si>
  <si>
    <t>P (psi)</t>
  </si>
  <si>
    <t>dP (psi)</t>
  </si>
  <si>
    <t>total in (g)</t>
  </si>
  <si>
    <t>Saturation</t>
  </si>
  <si>
    <t>Sw</t>
  </si>
  <si>
    <t>Parameters</t>
  </si>
  <si>
    <t>Core properties</t>
  </si>
  <si>
    <t>d</t>
  </si>
  <si>
    <t>inch</t>
  </si>
  <si>
    <t>cm</t>
  </si>
  <si>
    <t>r</t>
  </si>
  <si>
    <t>L</t>
  </si>
  <si>
    <t>Volume</t>
  </si>
  <si>
    <t>inch^3</t>
  </si>
  <si>
    <t>cc</t>
  </si>
  <si>
    <t>in-out (g)</t>
  </si>
  <si>
    <t>Experimental Conditions</t>
  </si>
  <si>
    <t>Porosity</t>
  </si>
  <si>
    <t>Pore Volume</t>
  </si>
  <si>
    <t>lab units</t>
  </si>
  <si>
    <t>SI</t>
  </si>
  <si>
    <t>q=ka/u*deltap/L</t>
  </si>
  <si>
    <t>q</t>
  </si>
  <si>
    <t>ml/min</t>
  </si>
  <si>
    <r>
      <t>m</t>
    </r>
    <r>
      <rPr>
        <sz val="12"/>
        <color rgb="FF000000"/>
        <rFont val="Calibri Light"/>
        <family val="2"/>
        <scheme val="major"/>
      </rPr>
      <t>3/s</t>
    </r>
  </si>
  <si>
    <t>Permeability</t>
  </si>
  <si>
    <t>Data</t>
  </si>
  <si>
    <t>k</t>
  </si>
  <si>
    <r>
      <t>m</t>
    </r>
    <r>
      <rPr>
        <sz val="12"/>
        <color rgb="FF000000"/>
        <rFont val="Calibri Light"/>
        <family val="2"/>
        <scheme val="major"/>
      </rPr>
      <t>2</t>
    </r>
  </si>
  <si>
    <t>Darcy</t>
  </si>
  <si>
    <t>ΔP (psi)</t>
  </si>
  <si>
    <t>Interpretation</t>
  </si>
  <si>
    <t>A</t>
  </si>
  <si>
    <r>
      <t>in</t>
    </r>
    <r>
      <rPr>
        <sz val="12"/>
        <color rgb="FF000000"/>
        <rFont val="Calibri Light"/>
        <family val="2"/>
        <scheme val="major"/>
      </rPr>
      <t>2</t>
    </r>
  </si>
  <si>
    <t>md</t>
  </si>
  <si>
    <t>dp</t>
  </si>
  <si>
    <t>Pressure (psi)</t>
  </si>
  <si>
    <t>Solve for Kri</t>
  </si>
  <si>
    <t>dP</t>
  </si>
  <si>
    <t>psi</t>
  </si>
  <si>
    <t>Pa</t>
  </si>
  <si>
    <t>mu</t>
  </si>
  <si>
    <t>cp</t>
  </si>
  <si>
    <t>Pa-s</t>
  </si>
  <si>
    <t>in</t>
  </si>
  <si>
    <t>m</t>
  </si>
  <si>
    <t>Qg</t>
  </si>
  <si>
    <t>Krw</t>
  </si>
  <si>
    <t>Krg</t>
  </si>
  <si>
    <t>Methane Consumed</t>
  </si>
  <si>
    <t>Volume Total</t>
  </si>
  <si>
    <t>Volume Sand</t>
  </si>
  <si>
    <t>Volume Pore</t>
  </si>
  <si>
    <t>Volume Water</t>
  </si>
  <si>
    <t>Density of h20</t>
  </si>
  <si>
    <t>g/cc</t>
  </si>
  <si>
    <t>Density of methane</t>
  </si>
  <si>
    <t>Density of hydrate</t>
  </si>
  <si>
    <t>mm of hydrate</t>
  </si>
  <si>
    <t>g/mol</t>
  </si>
  <si>
    <t>mol methane/mole h2o</t>
  </si>
  <si>
    <t>Theoretical</t>
  </si>
  <si>
    <t>Initial mol of h2o present</t>
  </si>
  <si>
    <t>mol</t>
  </si>
  <si>
    <t>methane needed for complete conversion</t>
  </si>
  <si>
    <t>mass CH4 needed</t>
  </si>
  <si>
    <t>g</t>
  </si>
  <si>
    <t>methane volume needed</t>
  </si>
  <si>
    <t>ml</t>
  </si>
  <si>
    <t>mol of hydrate</t>
  </si>
  <si>
    <t>mass of hydrate</t>
  </si>
  <si>
    <t>volume of hydrate</t>
  </si>
  <si>
    <t>Theoretical hydrate saturation</t>
  </si>
  <si>
    <t>Expirimental</t>
  </si>
  <si>
    <t>Initial gas in pump</t>
  </si>
  <si>
    <t>Final gas in pump</t>
  </si>
  <si>
    <t>volume CH4 consumed</t>
  </si>
  <si>
    <t>conversion rate</t>
  </si>
  <si>
    <t>mol of methane</t>
  </si>
  <si>
    <t>Hydrate saturation</t>
  </si>
  <si>
    <t>Qw (m^3/s)</t>
  </si>
  <si>
    <t>Qg (m^3/s)</t>
  </si>
  <si>
    <t>L1 (tap to tap)</t>
  </si>
  <si>
    <t>k (m^2)</t>
  </si>
  <si>
    <t>Area</t>
  </si>
  <si>
    <t>inch^2</t>
  </si>
  <si>
    <t>m^2</t>
  </si>
  <si>
    <t>m^3</t>
  </si>
  <si>
    <t>(pa-s)</t>
  </si>
  <si>
    <t>k (mD) (water)</t>
  </si>
  <si>
    <t xml:space="preserve"> Perm Calculations</t>
  </si>
  <si>
    <t>Si Conversion</t>
  </si>
  <si>
    <t xml:space="preserve"> dP 1 (Pa)</t>
  </si>
  <si>
    <t xml:space="preserve"> dP 2 (Pa)</t>
  </si>
  <si>
    <t xml:space="preserve"> dP 3 (Pa)</t>
  </si>
  <si>
    <t>krw</t>
  </si>
  <si>
    <t>krg</t>
  </si>
  <si>
    <t>time (min)</t>
  </si>
  <si>
    <t>total (g)</t>
  </si>
  <si>
    <t>fw</t>
  </si>
  <si>
    <t>cm^3</t>
  </si>
  <si>
    <t>T (°F)</t>
  </si>
  <si>
    <r>
      <t>T (</t>
    </r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Calibri"/>
        <family val="2"/>
        <scheme val="minor"/>
      </rPr>
      <t xml:space="preserve">C) </t>
    </r>
  </si>
  <si>
    <t>viscosity: water</t>
  </si>
  <si>
    <t>viscosity: gas</t>
  </si>
  <si>
    <t>n/a</t>
  </si>
  <si>
    <t>in^3</t>
  </si>
  <si>
    <t>Dry Weight</t>
  </si>
  <si>
    <t>Saturated weight</t>
  </si>
  <si>
    <t>Residual Weight</t>
  </si>
  <si>
    <t>Grain Density</t>
  </si>
  <si>
    <t>Saturations: BSS02</t>
  </si>
  <si>
    <t>Saturations: BSS01</t>
  </si>
  <si>
    <t xml:space="preserve">Residual Volume </t>
  </si>
  <si>
    <t>PV</t>
  </si>
  <si>
    <t>cm^2</t>
  </si>
  <si>
    <t>k (mD) (gas)</t>
  </si>
  <si>
    <t>BC Model</t>
  </si>
  <si>
    <t>Avergage Porosity</t>
  </si>
  <si>
    <t>Average PV</t>
  </si>
  <si>
    <t>fg</t>
  </si>
  <si>
    <t>Srw</t>
  </si>
  <si>
    <t>Water Perm 1</t>
  </si>
  <si>
    <t>Water Perm 2</t>
  </si>
  <si>
    <t>Water Perm 3</t>
  </si>
  <si>
    <t>Gas Perm 1</t>
  </si>
  <si>
    <t>Rel Perm 1</t>
  </si>
  <si>
    <t>Sn</t>
  </si>
  <si>
    <t>Rel Perm 2</t>
  </si>
  <si>
    <t>Rel Perm 3</t>
  </si>
  <si>
    <t>Gas Perm 2</t>
  </si>
  <si>
    <t>Gas Perm 3</t>
  </si>
  <si>
    <t>Saturations</t>
  </si>
  <si>
    <t>k_abs</t>
  </si>
  <si>
    <t>Sh</t>
  </si>
  <si>
    <t>Avg</t>
  </si>
  <si>
    <t>Por</t>
  </si>
  <si>
    <t>Volume of Gas</t>
  </si>
  <si>
    <t>Gas</t>
  </si>
  <si>
    <t>Water</t>
  </si>
  <si>
    <t>Vw</t>
  </si>
  <si>
    <t>Vh</t>
  </si>
  <si>
    <t>mol g</t>
  </si>
  <si>
    <t>mol w to hydrate</t>
  </si>
  <si>
    <t>vol w to hydrate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</si>
</sst>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"/>
    <numFmt numFmtId="167" formatCode="0.0E+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12"/>
      <color rgb="FF000000"/>
      <name val="Calibri Light"/>
      <family val="2"/>
      <scheme val="maj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7" fillId="4" borderId="1" applyNumberFormat="0" applyAlignment="0" applyProtection="0"/>
  </cellStyleXfs>
  <cellXfs count="44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/>
    <xf numFmtId="10" fontId="0" fillId="0" borderId="0" xfId="0" applyNumberFormat="1"/>
    <xf numFmtId="0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0" fontId="1" fillId="0" borderId="0" xfId="0" applyNumberFormat="1" applyFont="1"/>
    <xf numFmtId="0" fontId="1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wrapText="1"/>
    </xf>
    <xf numFmtId="0" fontId="2" fillId="0" borderId="0" xfId="0" applyFont="1"/>
    <xf numFmtId="0" fontId="5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Font="1" applyAlignment="1"/>
    <xf numFmtId="165" fontId="0" fillId="0" borderId="0" xfId="0" applyNumberFormat="1"/>
    <xf numFmtId="166" fontId="0" fillId="0" borderId="0" xfId="0" applyNumberFormat="1"/>
    <xf numFmtId="11" fontId="0" fillId="0" borderId="0" xfId="0" applyNumberFormat="1"/>
    <xf numFmtId="167" fontId="0" fillId="0" borderId="0" xfId="0" applyNumberFormat="1"/>
    <xf numFmtId="0" fontId="1" fillId="0" borderId="0" xfId="0" applyFont="1" applyAlignment="1"/>
    <xf numFmtId="0" fontId="1" fillId="10" borderId="0" xfId="0" applyFont="1" applyFill="1"/>
    <xf numFmtId="0" fontId="1" fillId="11" borderId="0" xfId="0" applyFont="1" applyFill="1"/>
    <xf numFmtId="0" fontId="7" fillId="4" borderId="1" xfId="1"/>
    <xf numFmtId="0" fontId="1" fillId="13" borderId="0" xfId="0" applyFont="1" applyFill="1"/>
    <xf numFmtId="0" fontId="1" fillId="14" borderId="0" xfId="0" applyFont="1" applyFill="1" applyAlignment="1"/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0" fillId="12" borderId="0" xfId="0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2" fontId="7" fillId="4" borderId="1" xfId="1" applyNumberFormat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kr(S)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Calculation!$A$18:$A$20</c:f>
              <c:numCache>
                <c:formatCode>General</c:formatCode>
                <c:ptCount val="3"/>
                <c:pt idx="0">
                  <c:v>0.6</c:v>
                </c:pt>
                <c:pt idx="1">
                  <c:v>0.55000000000000004</c:v>
                </c:pt>
                <c:pt idx="2">
                  <c:v>0.83</c:v>
                </c:pt>
              </c:numCache>
            </c:numRef>
          </c:xVal>
          <c:yVal>
            <c:numRef>
              <c:f>Calculation!$F$18:$F$20</c:f>
              <c:numCache>
                <c:formatCode>0.00</c:formatCode>
                <c:ptCount val="3"/>
                <c:pt idx="0">
                  <c:v>5.3681606513289022E-2</c:v>
                </c:pt>
                <c:pt idx="1">
                  <c:v>5.2687502688968851E-2</c:v>
                </c:pt>
                <c:pt idx="2">
                  <c:v>0.38799045089848061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BB-4B39-9C7C-3E7E990E6D38}"/>
            </c:ext>
          </c:extLst>
        </c:ser>
        <c:ser>
          <c:idx val="2"/>
          <c:order val="1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Calculation!$A$40:$A$58</c:f>
              <c:numCache>
                <c:formatCode>General</c:formatCode>
                <c:ptCount val="19"/>
                <c:pt idx="0">
                  <c:v>0.1</c:v>
                </c:pt>
                <c:pt idx="1">
                  <c:v>0.15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0.35</c:v>
                </c:pt>
                <c:pt idx="6">
                  <c:v>0.4</c:v>
                </c:pt>
                <c:pt idx="7">
                  <c:v>0.45</c:v>
                </c:pt>
                <c:pt idx="8">
                  <c:v>0.5</c:v>
                </c:pt>
                <c:pt idx="9">
                  <c:v>0.55000000000000004</c:v>
                </c:pt>
                <c:pt idx="10">
                  <c:v>0.6</c:v>
                </c:pt>
                <c:pt idx="11">
                  <c:v>0.65</c:v>
                </c:pt>
                <c:pt idx="12">
                  <c:v>0.7</c:v>
                </c:pt>
                <c:pt idx="13">
                  <c:v>0.75</c:v>
                </c:pt>
                <c:pt idx="14">
                  <c:v>0.8</c:v>
                </c:pt>
                <c:pt idx="15">
                  <c:v>0.85</c:v>
                </c:pt>
                <c:pt idx="16">
                  <c:v>0.9</c:v>
                </c:pt>
                <c:pt idx="17">
                  <c:v>0.95</c:v>
                </c:pt>
                <c:pt idx="18">
                  <c:v>1</c:v>
                </c:pt>
              </c:numCache>
            </c:numRef>
          </c:xVal>
          <c:yVal>
            <c:numRef>
              <c:f>Calculation!$B$40:$B$58</c:f>
              <c:numCache>
                <c:formatCode>General</c:formatCode>
                <c:ptCount val="19"/>
                <c:pt idx="0">
                  <c:v>0</c:v>
                </c:pt>
                <c:pt idx="1">
                  <c:v>9.5259868922420247E-6</c:v>
                </c:pt>
                <c:pt idx="2">
                  <c:v>1.5241579027587261E-4</c:v>
                </c:pt>
                <c:pt idx="3">
                  <c:v>7.716049382716049E-4</c:v>
                </c:pt>
                <c:pt idx="4">
                  <c:v>2.4386526444139609E-3</c:v>
                </c:pt>
                <c:pt idx="5">
                  <c:v>5.9537418076512699E-3</c:v>
                </c:pt>
                <c:pt idx="6">
                  <c:v>1.2345679012345684E-2</c:v>
                </c:pt>
                <c:pt idx="7">
                  <c:v>2.2871894528273113E-2</c:v>
                </c:pt>
                <c:pt idx="8">
                  <c:v>3.9018442310623389E-2</c:v>
                </c:pt>
                <c:pt idx="9">
                  <c:v>6.2500000000000056E-2</c:v>
                </c:pt>
                <c:pt idx="10">
                  <c:v>9.5259868922420388E-2</c:v>
                </c:pt>
                <c:pt idx="11">
                  <c:v>0.13946997408931569</c:v>
                </c:pt>
                <c:pt idx="12">
                  <c:v>0.19753086419753085</c:v>
                </c:pt>
                <c:pt idx="13">
                  <c:v>0.27207171162932481</c:v>
                </c:pt>
                <c:pt idx="14">
                  <c:v>0.36595031245237009</c:v>
                </c:pt>
                <c:pt idx="15">
                  <c:v>0.4822530864197529</c:v>
                </c:pt>
                <c:pt idx="16">
                  <c:v>0.62429507696997422</c:v>
                </c:pt>
                <c:pt idx="17">
                  <c:v>0.79561995122694706</c:v>
                </c:pt>
                <c:pt idx="18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3B-49DF-9B5B-2468D26B0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2019888"/>
        <c:axId val="2013185376"/>
      </c:scatterChart>
      <c:valAx>
        <c:axId val="1912019888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Sw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3185376"/>
        <c:crosses val="autoZero"/>
        <c:crossBetween val="midCat"/>
      </c:valAx>
      <c:valAx>
        <c:axId val="20131853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2019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481774</xdr:colOff>
      <xdr:row>12</xdr:row>
      <xdr:rowOff>98661</xdr:rowOff>
    </xdr:from>
    <xdr:to>
      <xdr:col>13</xdr:col>
      <xdr:colOff>585669</xdr:colOff>
      <xdr:row>29</xdr:row>
      <xdr:rowOff>169146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0B8BF9-A295-4BBF-8FB6-8DBEE8C45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wm96/Box/2019/Worksheets/Parameters%20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drate Saturation"/>
      <sheetName val="P-T Diagram"/>
      <sheetName val="Packing Conditions"/>
      <sheetName val="Methane Consumption"/>
      <sheetName val="Flow raitos"/>
      <sheetName val="Darcys"/>
      <sheetName val="Darcy_Buckin"/>
    </sheetNames>
    <sheetDataSet>
      <sheetData sheetId="0" refreshError="1"/>
      <sheetData sheetId="1" refreshError="1"/>
      <sheetData sheetId="2" refreshError="1">
        <row r="2">
          <cell r="C2">
            <v>637.08331346928389</v>
          </cell>
          <cell r="E2">
            <v>509.66665077542712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2476C-FFCA-4D8E-A043-75B1E75C0E60}">
  <dimension ref="A1:O20"/>
  <sheetViews>
    <sheetView workbookViewId="0">
      <selection activeCell="M19" sqref="M19"/>
    </sheetView>
  </sheetViews>
  <sheetFormatPr defaultRowHeight="15" x14ac:dyDescent="0.25"/>
  <cols>
    <col min="1" max="1" width="14.85546875" bestFit="1" customWidth="1"/>
    <col min="2" max="2" width="11" customWidth="1"/>
    <col min="8" max="8" width="12.28515625" customWidth="1"/>
    <col min="9" max="9" width="16.85546875" customWidth="1"/>
    <col min="10" max="10" width="16.28515625" bestFit="1" customWidth="1"/>
    <col min="13" max="13" width="16.42578125" customWidth="1"/>
    <col min="14" max="14" width="16.7109375" customWidth="1"/>
  </cols>
  <sheetData>
    <row r="1" spans="1:15" x14ac:dyDescent="0.25">
      <c r="A1" s="33" t="s">
        <v>12</v>
      </c>
      <c r="B1" s="33"/>
      <c r="C1" s="33"/>
      <c r="D1" s="33"/>
      <c r="E1" s="33"/>
      <c r="F1" s="33"/>
      <c r="G1" s="33"/>
      <c r="H1" s="32" t="s">
        <v>22</v>
      </c>
      <c r="I1" s="32"/>
      <c r="J1" s="34" t="s">
        <v>117</v>
      </c>
      <c r="K1" s="34"/>
      <c r="L1" s="34"/>
      <c r="M1" s="34" t="s">
        <v>118</v>
      </c>
      <c r="N1" s="34"/>
      <c r="O1" s="34"/>
    </row>
    <row r="2" spans="1:15" x14ac:dyDescent="0.25">
      <c r="A2" s="8" t="s">
        <v>13</v>
      </c>
      <c r="B2" s="3">
        <v>1.5</v>
      </c>
      <c r="C2" s="6" t="s">
        <v>14</v>
      </c>
      <c r="D2" s="22">
        <f>B2*2.54/100</f>
        <v>3.8100000000000002E-2</v>
      </c>
      <c r="E2" s="9" t="s">
        <v>51</v>
      </c>
      <c r="F2" s="22">
        <f>B2*2.54</f>
        <v>3.81</v>
      </c>
      <c r="G2" s="6" t="s">
        <v>15</v>
      </c>
      <c r="H2" s="6" t="s">
        <v>6</v>
      </c>
      <c r="I2" s="3">
        <v>250</v>
      </c>
      <c r="J2" s="6" t="s">
        <v>113</v>
      </c>
      <c r="K2">
        <v>1263.19</v>
      </c>
      <c r="L2" s="6" t="s">
        <v>72</v>
      </c>
      <c r="M2" s="6" t="s">
        <v>113</v>
      </c>
      <c r="N2" s="3">
        <v>1276.32</v>
      </c>
      <c r="O2" s="6" t="s">
        <v>72</v>
      </c>
    </row>
    <row r="3" spans="1:15" x14ac:dyDescent="0.25">
      <c r="A3" s="9" t="s">
        <v>16</v>
      </c>
      <c r="B3" s="3">
        <f>B2/2</f>
        <v>0.75</v>
      </c>
      <c r="C3" s="6" t="s">
        <v>14</v>
      </c>
      <c r="D3" s="22">
        <f>D2/2</f>
        <v>1.9050000000000001E-2</v>
      </c>
      <c r="E3" s="9" t="s">
        <v>51</v>
      </c>
      <c r="F3" s="22">
        <f>F2/2</f>
        <v>1.905</v>
      </c>
      <c r="G3" s="6" t="s">
        <v>15</v>
      </c>
      <c r="H3" s="6" t="s">
        <v>107</v>
      </c>
      <c r="I3" s="3">
        <v>72</v>
      </c>
      <c r="J3" s="6" t="s">
        <v>114</v>
      </c>
      <c r="K3">
        <v>1359.1</v>
      </c>
      <c r="L3" s="6" t="s">
        <v>72</v>
      </c>
      <c r="M3" s="6" t="s">
        <v>114</v>
      </c>
      <c r="N3" s="3">
        <v>1365.8</v>
      </c>
      <c r="O3" s="6" t="s">
        <v>72</v>
      </c>
    </row>
    <row r="4" spans="1:15" x14ac:dyDescent="0.25">
      <c r="A4" s="9" t="s">
        <v>17</v>
      </c>
      <c r="B4" s="3">
        <v>22</v>
      </c>
      <c r="C4" s="6" t="s">
        <v>14</v>
      </c>
      <c r="D4" s="22">
        <f>B4*2.54/100</f>
        <v>0.55880000000000007</v>
      </c>
      <c r="E4" s="9" t="s">
        <v>51</v>
      </c>
      <c r="F4" s="22">
        <f>B4*2.54</f>
        <v>55.88</v>
      </c>
      <c r="G4" s="6" t="s">
        <v>15</v>
      </c>
      <c r="H4" s="6" t="s">
        <v>108</v>
      </c>
      <c r="I4" s="23">
        <f>(I3-32)*5/9</f>
        <v>22.222222222222221</v>
      </c>
      <c r="J4" s="6" t="s">
        <v>115</v>
      </c>
      <c r="K4">
        <v>1329.3</v>
      </c>
      <c r="L4" s="6" t="s">
        <v>72</v>
      </c>
      <c r="M4" s="6" t="s">
        <v>115</v>
      </c>
      <c r="N4" s="3"/>
      <c r="O4" s="6" t="s">
        <v>72</v>
      </c>
    </row>
    <row r="5" spans="1:15" x14ac:dyDescent="0.25">
      <c r="A5" s="9" t="s">
        <v>88</v>
      </c>
      <c r="B5">
        <v>4</v>
      </c>
      <c r="C5" s="6" t="s">
        <v>14</v>
      </c>
      <c r="D5" s="22">
        <f>B5*2.54/100</f>
        <v>0.1016</v>
      </c>
      <c r="E5" s="9" t="s">
        <v>51</v>
      </c>
      <c r="F5" s="22">
        <f>B5*2.54</f>
        <v>10.16</v>
      </c>
      <c r="G5" s="6" t="s">
        <v>15</v>
      </c>
      <c r="J5" s="6" t="s">
        <v>116</v>
      </c>
      <c r="L5" s="6" t="s">
        <v>61</v>
      </c>
      <c r="M5" s="6" t="s">
        <v>116</v>
      </c>
      <c r="N5" s="3"/>
      <c r="O5" s="6" t="s">
        <v>61</v>
      </c>
    </row>
    <row r="6" spans="1:15" x14ac:dyDescent="0.25">
      <c r="A6" s="9" t="s">
        <v>90</v>
      </c>
      <c r="B6" s="23">
        <f>PI()*B3^2</f>
        <v>1.7671458676442586</v>
      </c>
      <c r="C6" s="6" t="s">
        <v>91</v>
      </c>
      <c r="D6" s="22">
        <f>PI()*D3^2</f>
        <v>1.1400918279693699E-3</v>
      </c>
      <c r="E6" s="9" t="s">
        <v>92</v>
      </c>
      <c r="F6" s="22">
        <f>PI()*F3^2</f>
        <v>11.400918279693698</v>
      </c>
      <c r="G6" s="6" t="s">
        <v>121</v>
      </c>
      <c r="J6" s="6" t="s">
        <v>119</v>
      </c>
      <c r="K6">
        <f>K4-K2</f>
        <v>66.1099999999999</v>
      </c>
      <c r="L6" s="6" t="s">
        <v>74</v>
      </c>
      <c r="M6" s="6" t="s">
        <v>119</v>
      </c>
      <c r="N6" s="3">
        <f>N4-N2</f>
        <v>-1276.32</v>
      </c>
      <c r="O6" s="6" t="s">
        <v>74</v>
      </c>
    </row>
    <row r="7" spans="1:15" x14ac:dyDescent="0.25">
      <c r="A7" s="9" t="s">
        <v>18</v>
      </c>
      <c r="B7" s="23">
        <f>PI()*B3^2*B4</f>
        <v>38.877209088173693</v>
      </c>
      <c r="C7" s="6" t="s">
        <v>19</v>
      </c>
      <c r="D7" s="22">
        <f>D3^2*PI()*D4</f>
        <v>6.3708331346928404E-4</v>
      </c>
      <c r="E7" s="9" t="s">
        <v>93</v>
      </c>
      <c r="F7" s="22">
        <f>F3^2*PI()*F4</f>
        <v>637.08331346928389</v>
      </c>
      <c r="G7" s="6" t="s">
        <v>106</v>
      </c>
      <c r="J7" s="6" t="s">
        <v>120</v>
      </c>
      <c r="K7">
        <f>(K3-K2)</f>
        <v>95.909999999999854</v>
      </c>
      <c r="L7" s="6" t="s">
        <v>20</v>
      </c>
      <c r="M7" s="6" t="s">
        <v>120</v>
      </c>
      <c r="N7" s="3">
        <f>N3-N2</f>
        <v>89.480000000000018</v>
      </c>
      <c r="O7" s="6" t="s">
        <v>20</v>
      </c>
    </row>
    <row r="8" spans="1:15" x14ac:dyDescent="0.25">
      <c r="A8" s="9" t="s">
        <v>23</v>
      </c>
      <c r="B8">
        <f>AVERAGE(N8,K8)</f>
        <v>0.14549902350325661</v>
      </c>
      <c r="C8" s="6" t="s">
        <v>111</v>
      </c>
      <c r="E8" s="6"/>
      <c r="J8" s="6" t="s">
        <v>23</v>
      </c>
      <c r="K8">
        <f>K7/$F$7</f>
        <v>0.15054545923941237</v>
      </c>
      <c r="L8" s="6" t="s">
        <v>111</v>
      </c>
      <c r="M8" s="6" t="s">
        <v>23</v>
      </c>
      <c r="N8" s="3">
        <f>N7/$F$7</f>
        <v>0.14045258776710084</v>
      </c>
      <c r="O8" s="6" t="s">
        <v>111</v>
      </c>
    </row>
    <row r="9" spans="1:15" x14ac:dyDescent="0.25">
      <c r="A9" s="9" t="s">
        <v>24</v>
      </c>
      <c r="B9" s="2">
        <f>B7*B8</f>
        <v>5.6565959588612058</v>
      </c>
      <c r="C9" s="6" t="s">
        <v>112</v>
      </c>
      <c r="D9" s="3">
        <f>D7*B8</f>
        <v>9.2694999999999952E-5</v>
      </c>
      <c r="E9" s="6" t="s">
        <v>93</v>
      </c>
      <c r="F9">
        <f>D9*100^3</f>
        <v>92.694999999999951</v>
      </c>
      <c r="G9" s="6" t="s">
        <v>106</v>
      </c>
      <c r="J9" s="6"/>
    </row>
    <row r="10" spans="1:15" x14ac:dyDescent="0.25">
      <c r="A10" s="6" t="s">
        <v>109</v>
      </c>
      <c r="B10">
        <v>1.23E-3</v>
      </c>
      <c r="C10" s="6" t="s">
        <v>94</v>
      </c>
      <c r="D10" s="3"/>
      <c r="E10" s="6"/>
    </row>
    <row r="11" spans="1:15" x14ac:dyDescent="0.25">
      <c r="A11" s="26" t="s">
        <v>110</v>
      </c>
      <c r="B11" s="21">
        <v>1.0000000000000001E-5</v>
      </c>
      <c r="C11" s="6" t="s">
        <v>94</v>
      </c>
      <c r="E11" s="6"/>
    </row>
    <row r="19" spans="9:10" x14ac:dyDescent="0.25">
      <c r="I19" s="29" t="s">
        <v>124</v>
      </c>
      <c r="J19" s="29" t="s">
        <v>125</v>
      </c>
    </row>
    <row r="20" spans="9:10" x14ac:dyDescent="0.25">
      <c r="I20" s="29">
        <v>0.215</v>
      </c>
      <c r="J20" s="43">
        <f>F7*I20</f>
        <v>136.97291239589603</v>
      </c>
    </row>
  </sheetData>
  <mergeCells count="4">
    <mergeCell ref="H1:I1"/>
    <mergeCell ref="A1:G1"/>
    <mergeCell ref="J1:L1"/>
    <mergeCell ref="M1:O1"/>
  </mergeCells>
  <pageMargins left="0.7" right="0.7" top="0.75" bottom="0.75" header="0.3" footer="0.3"/>
  <pageSetup paperSize="1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9"/>
  <sheetViews>
    <sheetView zoomScale="115" zoomScaleNormal="115" workbookViewId="0">
      <selection activeCell="C4" sqref="C4"/>
    </sheetView>
  </sheetViews>
  <sheetFormatPr defaultRowHeight="15" x14ac:dyDescent="0.25"/>
  <cols>
    <col min="3" max="3" width="13.42578125" bestFit="1" customWidth="1"/>
    <col min="4" max="4" width="12.28515625" bestFit="1" customWidth="1"/>
    <col min="5" max="5" width="11.85546875" customWidth="1"/>
    <col min="6" max="6" width="9.5703125" bestFit="1" customWidth="1"/>
    <col min="7" max="7" width="19.140625" bestFit="1" customWidth="1"/>
    <col min="8" max="8" width="9.5703125" bestFit="1" customWidth="1"/>
    <col min="9" max="9" width="11.140625" bestFit="1" customWidth="1"/>
    <col min="10" max="10" width="10.42578125" bestFit="1" customWidth="1"/>
    <col min="11" max="11" width="10.140625" bestFit="1" customWidth="1"/>
    <col min="12" max="12" width="11.7109375" style="3" bestFit="1" customWidth="1"/>
    <col min="14" max="15" width="12" style="3" bestFit="1" customWidth="1"/>
    <col min="17" max="17" width="12.140625" customWidth="1"/>
    <col min="18" max="18" width="13.7109375" customWidth="1"/>
    <col min="19" max="19" width="13" customWidth="1"/>
    <col min="20" max="24" width="18" style="3" customWidth="1"/>
    <col min="25" max="25" width="14.42578125" style="3" customWidth="1"/>
    <col min="26" max="28" width="18" style="3" customWidth="1"/>
    <col min="29" max="29" width="13.7109375" customWidth="1"/>
    <col min="30" max="30" width="12.7109375" customWidth="1"/>
    <col min="31" max="31" width="17" bestFit="1" customWidth="1"/>
    <col min="32" max="32" width="12" bestFit="1" customWidth="1"/>
  </cols>
  <sheetData>
    <row r="1" spans="1:31" s="3" customFormat="1" x14ac:dyDescent="0.25">
      <c r="A1" s="39" t="s">
        <v>32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7" t="s">
        <v>96</v>
      </c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31" x14ac:dyDescent="0.25">
      <c r="B2" s="38" t="s">
        <v>3</v>
      </c>
      <c r="C2" s="38"/>
      <c r="D2" s="38"/>
      <c r="E2" s="7"/>
      <c r="F2" s="38" t="s">
        <v>7</v>
      </c>
      <c r="G2" s="38"/>
      <c r="H2" s="38"/>
      <c r="I2" s="38" t="s">
        <v>9</v>
      </c>
      <c r="J2" s="38"/>
      <c r="K2" s="38"/>
      <c r="L2" s="38"/>
      <c r="M2" s="38"/>
      <c r="N2" s="38"/>
      <c r="O2" s="38" t="s">
        <v>97</v>
      </c>
      <c r="P2" s="38"/>
      <c r="Q2" s="38"/>
      <c r="R2" s="38"/>
      <c r="S2" s="38"/>
      <c r="T2" s="40" t="s">
        <v>128</v>
      </c>
      <c r="U2" s="40"/>
      <c r="V2" s="40" t="s">
        <v>129</v>
      </c>
      <c r="W2" s="40"/>
      <c r="X2" s="40" t="s">
        <v>130</v>
      </c>
      <c r="Y2" s="40"/>
      <c r="Z2" s="36" t="s">
        <v>131</v>
      </c>
      <c r="AA2" s="36"/>
      <c r="AB2" s="36" t="s">
        <v>136</v>
      </c>
      <c r="AC2" s="36"/>
      <c r="AD2" s="36" t="s">
        <v>137</v>
      </c>
      <c r="AE2" s="36"/>
    </row>
    <row r="3" spans="1:31" x14ac:dyDescent="0.25">
      <c r="A3" s="6" t="s">
        <v>5</v>
      </c>
      <c r="B3" s="6" t="s">
        <v>0</v>
      </c>
      <c r="C3" s="6" t="s">
        <v>1</v>
      </c>
      <c r="D3" s="6" t="s">
        <v>2</v>
      </c>
      <c r="E3" s="6" t="s">
        <v>4</v>
      </c>
      <c r="F3" s="6">
        <v>1</v>
      </c>
      <c r="G3" s="6">
        <v>2</v>
      </c>
      <c r="H3" s="6">
        <v>3</v>
      </c>
      <c r="I3" s="6" t="s">
        <v>140</v>
      </c>
      <c r="J3" s="6" t="s">
        <v>8</v>
      </c>
      <c r="K3" s="6" t="s">
        <v>103</v>
      </c>
      <c r="L3" s="6" t="s">
        <v>21</v>
      </c>
      <c r="M3" s="6" t="s">
        <v>104</v>
      </c>
      <c r="N3" s="6" t="s">
        <v>10</v>
      </c>
      <c r="O3" s="6" t="s">
        <v>86</v>
      </c>
      <c r="P3" s="6" t="s">
        <v>87</v>
      </c>
      <c r="Q3" s="6" t="s">
        <v>98</v>
      </c>
      <c r="R3" s="6" t="s">
        <v>99</v>
      </c>
      <c r="S3" s="6" t="s">
        <v>100</v>
      </c>
      <c r="T3" s="6" t="s">
        <v>89</v>
      </c>
      <c r="U3" s="6" t="s">
        <v>95</v>
      </c>
      <c r="V3" s="6" t="s">
        <v>89</v>
      </c>
      <c r="W3" s="6" t="s">
        <v>95</v>
      </c>
      <c r="X3" s="6" t="s">
        <v>89</v>
      </c>
      <c r="Y3" s="6" t="s">
        <v>95</v>
      </c>
      <c r="Z3" s="6" t="s">
        <v>89</v>
      </c>
      <c r="AA3" s="6" t="s">
        <v>122</v>
      </c>
      <c r="AB3" s="6" t="s">
        <v>89</v>
      </c>
      <c r="AC3" s="6" t="s">
        <v>122</v>
      </c>
      <c r="AD3" s="6" t="s">
        <v>89</v>
      </c>
      <c r="AE3" s="6" t="s">
        <v>122</v>
      </c>
    </row>
    <row r="4" spans="1:31" x14ac:dyDescent="0.25">
      <c r="A4">
        <v>1</v>
      </c>
      <c r="B4">
        <v>0.1</v>
      </c>
      <c r="C4">
        <v>0</v>
      </c>
      <c r="D4">
        <v>0</v>
      </c>
      <c r="E4" s="2">
        <f>B4/(B4+D4)</f>
        <v>1</v>
      </c>
      <c r="F4">
        <v>2</v>
      </c>
      <c r="G4">
        <v>2</v>
      </c>
      <c r="H4">
        <v>2</v>
      </c>
      <c r="I4">
        <v>0.45</v>
      </c>
      <c r="M4" s="3"/>
      <c r="N4">
        <f>1-$I$4</f>
        <v>0.55000000000000004</v>
      </c>
      <c r="O4" s="25">
        <f t="shared" ref="O4:O12" si="0">B4/100^3*1^2/60</f>
        <v>1.6666666666666669E-9</v>
      </c>
      <c r="P4" s="25">
        <f t="shared" ref="P4:P12" si="1">D4/100^3*1^2/60</f>
        <v>0</v>
      </c>
      <c r="Q4">
        <f t="shared" ref="Q4:Q12" si="2">F4*6894.8</f>
        <v>13789.6</v>
      </c>
      <c r="R4" s="3">
        <f t="shared" ref="R4:R12" si="3">G4*6894.8</f>
        <v>13789.6</v>
      </c>
      <c r="S4" s="3">
        <f t="shared" ref="S4:S12" si="4">H4*6894.8</f>
        <v>13789.6</v>
      </c>
      <c r="T4" s="24">
        <f>(O4*'Core Parameters'!$B$10*'Core Parameters'!$D$5)/(Q4*'Core Parameters'!$D$6)</f>
        <v>1.3248175348788012E-14</v>
      </c>
      <c r="U4" s="23">
        <f>T4*1013000000000*1000</f>
        <v>13.420401628322255</v>
      </c>
      <c r="V4" s="24">
        <f>(O4*'Core Parameters'!$B$10*'Core Parameters'!$D$5)/(R4*'Core Parameters'!$D$6)</f>
        <v>1.3248175348788012E-14</v>
      </c>
      <c r="W4" s="23">
        <f>V4*1013000000000*1000</f>
        <v>13.420401628322255</v>
      </c>
      <c r="X4" s="24">
        <f>(O4*'Core Parameters'!$B$10*'Core Parameters'!$D$5)/(S4*'Core Parameters'!$D$6)</f>
        <v>1.3248175348788012E-14</v>
      </c>
      <c r="Y4" s="23">
        <f>X4*1013000000000*1000</f>
        <v>13.420401628322255</v>
      </c>
      <c r="Z4" s="24">
        <f>(P4*'Core Parameters'!$B$11*'Core Parameters'!$D$5)/(Q4*'Core Parameters'!$D$6)</f>
        <v>0</v>
      </c>
      <c r="AA4" s="23">
        <f>Z4*1013000000000*1000</f>
        <v>0</v>
      </c>
      <c r="AB4" s="24">
        <f>(P4*'Core Parameters'!$B$11*'Core Parameters'!$D$5)/(R4*'Core Parameters'!$D$6)</f>
        <v>0</v>
      </c>
      <c r="AC4" s="23">
        <f>AB4*1013000000000*1000</f>
        <v>0</v>
      </c>
      <c r="AD4" s="24">
        <f>(P4*'Core Parameters'!$B$11*'Core Parameters'!$D$5)/(S4*'Core Parameters'!$D$6)</f>
        <v>0</v>
      </c>
      <c r="AE4" s="23">
        <f t="shared" ref="AE4:AE12" si="5">AD4*1013000000000*1000</f>
        <v>0</v>
      </c>
    </row>
    <row r="5" spans="1:31" s="3" customFormat="1" x14ac:dyDescent="0.25">
      <c r="A5" s="3">
        <v>1</v>
      </c>
      <c r="B5" s="3">
        <v>0.05</v>
      </c>
      <c r="C5" s="3">
        <v>0</v>
      </c>
      <c r="D5" s="3">
        <v>0</v>
      </c>
      <c r="E5" s="2">
        <f>B5/(B5+D5)</f>
        <v>1</v>
      </c>
      <c r="F5" s="3">
        <v>0.9</v>
      </c>
      <c r="G5" s="3">
        <v>1</v>
      </c>
      <c r="H5" s="3">
        <v>1.2</v>
      </c>
      <c r="I5" s="3">
        <v>0.45</v>
      </c>
      <c r="N5" s="3">
        <f t="shared" ref="N5:N12" si="6">1-$I$4</f>
        <v>0.55000000000000004</v>
      </c>
      <c r="O5" s="25">
        <f t="shared" si="0"/>
        <v>8.3333333333333345E-10</v>
      </c>
      <c r="P5" s="25">
        <f t="shared" si="1"/>
        <v>0</v>
      </c>
      <c r="Q5" s="3">
        <f t="shared" si="2"/>
        <v>6205.3200000000006</v>
      </c>
      <c r="R5" s="3">
        <f t="shared" si="3"/>
        <v>6894.8</v>
      </c>
      <c r="S5" s="3">
        <f t="shared" si="4"/>
        <v>8273.76</v>
      </c>
      <c r="T5" s="24">
        <f>(O5*'Core Parameters'!$B$10*'Core Parameters'!$D$5)/(Q5*'Core Parameters'!$D$6)</f>
        <v>1.4720194831986677E-14</v>
      </c>
      <c r="U5" s="23">
        <f t="shared" ref="U5:W6" si="7">T5*1013000000000*1000</f>
        <v>14.911557364802505</v>
      </c>
      <c r="V5" s="24">
        <f>(O5*'Core Parameters'!$B$10*'Core Parameters'!$D$5)/(R5*'Core Parameters'!$D$6)</f>
        <v>1.3248175348788012E-14</v>
      </c>
      <c r="W5" s="23">
        <f t="shared" si="7"/>
        <v>13.420401628322255</v>
      </c>
      <c r="X5" s="24">
        <f>(O5*'Core Parameters'!$B$10*'Core Parameters'!$D$5)/(S5*'Core Parameters'!$D$6)</f>
        <v>1.1040146123990008E-14</v>
      </c>
      <c r="Y5" s="23">
        <f t="shared" ref="Y5:Y12" si="8">X5*1013000000000*1000</f>
        <v>11.183668023601879</v>
      </c>
      <c r="Z5" s="24">
        <f>(P5*'Core Parameters'!$B$11*'Core Parameters'!$D$5)/(Q5*'Core Parameters'!$D$6)</f>
        <v>0</v>
      </c>
      <c r="AA5" s="23">
        <f t="shared" ref="AA5:AC6" si="9">Z5*1013000000000*1000</f>
        <v>0</v>
      </c>
      <c r="AB5" s="24">
        <f>(P5*'Core Parameters'!$B$11*'Core Parameters'!$D$5)/(R5*'Core Parameters'!$D$6)</f>
        <v>0</v>
      </c>
      <c r="AC5" s="23">
        <f t="shared" si="9"/>
        <v>0</v>
      </c>
      <c r="AD5" s="24">
        <f>(P5*'Core Parameters'!$B$11*'Core Parameters'!$D$5)/(S5*'Core Parameters'!$D$6)</f>
        <v>0</v>
      </c>
      <c r="AE5" s="23">
        <f t="shared" si="5"/>
        <v>0</v>
      </c>
    </row>
    <row r="6" spans="1:31" s="3" customFormat="1" x14ac:dyDescent="0.25">
      <c r="A6" s="3">
        <v>1</v>
      </c>
      <c r="B6" s="3">
        <v>1</v>
      </c>
      <c r="C6" s="3">
        <v>0</v>
      </c>
      <c r="E6" s="2">
        <f>B6/(B6+D6)</f>
        <v>1</v>
      </c>
      <c r="F6" s="3">
        <v>2.4700000000000002</v>
      </c>
      <c r="G6" s="3">
        <v>3.08</v>
      </c>
      <c r="H6" s="3">
        <v>2.82</v>
      </c>
      <c r="I6" s="3">
        <v>0.1</v>
      </c>
      <c r="N6" s="3">
        <f t="shared" si="6"/>
        <v>0.55000000000000004</v>
      </c>
      <c r="O6" s="25">
        <f t="shared" si="0"/>
        <v>1.6666666666666667E-8</v>
      </c>
      <c r="P6" s="25">
        <f t="shared" si="1"/>
        <v>0</v>
      </c>
      <c r="Q6" s="3">
        <f t="shared" si="2"/>
        <v>17030.156000000003</v>
      </c>
      <c r="R6" s="3">
        <f t="shared" si="3"/>
        <v>21235.984</v>
      </c>
      <c r="S6" s="3">
        <f t="shared" si="4"/>
        <v>19443.335999999999</v>
      </c>
      <c r="T6" s="24">
        <f>(O6*'Core Parameters'!$B$10*'Core Parameters'!$D$5)/(Q6*'Core Parameters'!$D$6)</f>
        <v>1.0727267488897173E-13</v>
      </c>
      <c r="U6" s="23">
        <f t="shared" si="7"/>
        <v>108.66721966252837</v>
      </c>
      <c r="V6" s="24">
        <f>(O6*'Core Parameters'!$B$10*'Core Parameters'!$D$5)/(R6*'Core Parameters'!$D$6)</f>
        <v>8.6027112654467598E-14</v>
      </c>
      <c r="W6" s="23">
        <f t="shared" si="7"/>
        <v>87.145465118975679</v>
      </c>
      <c r="X6" s="24">
        <f>(O6*'Core Parameters'!$B$10*'Core Parameters'!$D$5)/(S6*'Core Parameters'!$D$6)</f>
        <v>9.3958690416936244E-14</v>
      </c>
      <c r="Y6" s="23">
        <f t="shared" si="8"/>
        <v>95.180153392356416</v>
      </c>
      <c r="Z6" s="24">
        <f>(P6*'Core Parameters'!$B$11*'Core Parameters'!$D$5)/(Q6*'Core Parameters'!$D$6)</f>
        <v>0</v>
      </c>
      <c r="AA6" s="23">
        <f t="shared" si="9"/>
        <v>0</v>
      </c>
      <c r="AB6" s="24">
        <f>(P6*'Core Parameters'!$B$11*'Core Parameters'!$D$5)/(R6*'Core Parameters'!$D$6)</f>
        <v>0</v>
      </c>
      <c r="AC6" s="23">
        <f t="shared" si="9"/>
        <v>0</v>
      </c>
      <c r="AD6" s="24">
        <f>(P6*'Core Parameters'!$B$11*'Core Parameters'!$D$5)/(S6*'Core Parameters'!$D$6)</f>
        <v>0</v>
      </c>
      <c r="AE6" s="23">
        <f t="shared" si="5"/>
        <v>0</v>
      </c>
    </row>
    <row r="7" spans="1:31" x14ac:dyDescent="0.25">
      <c r="A7">
        <v>1</v>
      </c>
      <c r="B7">
        <v>1</v>
      </c>
      <c r="E7" s="2">
        <f t="shared" ref="E7:E12" si="10">B7/(B7+D7)</f>
        <v>1</v>
      </c>
      <c r="K7" s="3"/>
      <c r="M7" s="3"/>
      <c r="N7" s="3">
        <f t="shared" si="6"/>
        <v>0.55000000000000004</v>
      </c>
      <c r="O7" s="25">
        <f t="shared" si="0"/>
        <v>1.6666666666666667E-8</v>
      </c>
      <c r="P7" s="25">
        <f t="shared" si="1"/>
        <v>0</v>
      </c>
      <c r="Q7" s="3">
        <f t="shared" si="2"/>
        <v>0</v>
      </c>
      <c r="R7" s="3">
        <f t="shared" si="3"/>
        <v>0</v>
      </c>
      <c r="S7" s="3">
        <f t="shared" si="4"/>
        <v>0</v>
      </c>
      <c r="T7" s="24" t="e">
        <f>(O7*'Core Parameters'!$B$10*'Core Parameters'!$D$5)/(Q7*'Core Parameters'!$D$6)</f>
        <v>#DIV/0!</v>
      </c>
      <c r="U7" s="23" t="e">
        <f t="shared" ref="U7:U12" si="11">T7*1013000000000*1000</f>
        <v>#DIV/0!</v>
      </c>
      <c r="V7" s="24" t="e">
        <f>(O7*'Core Parameters'!$B$10*'Core Parameters'!$D$5)/(R7*'Core Parameters'!$D$6)</f>
        <v>#DIV/0!</v>
      </c>
      <c r="W7" s="23" t="e">
        <f t="shared" ref="W7:W12" si="12">V7*1013000000000*1000</f>
        <v>#DIV/0!</v>
      </c>
      <c r="X7" s="24" t="e">
        <f>(O7*'Core Parameters'!$B$10*'Core Parameters'!$D$5)/(S7*'Core Parameters'!$D$6)</f>
        <v>#DIV/0!</v>
      </c>
      <c r="Y7" s="23" t="e">
        <f t="shared" si="8"/>
        <v>#DIV/0!</v>
      </c>
      <c r="Z7" s="24" t="e">
        <f>(P7*'Core Parameters'!$B$11*'Core Parameters'!$D$5)/(Q7*'Core Parameters'!$D$6)</f>
        <v>#DIV/0!</v>
      </c>
      <c r="AA7" s="23" t="e">
        <f t="shared" ref="AA7:AA12" si="13">Z7*1013000000000*1000</f>
        <v>#DIV/0!</v>
      </c>
      <c r="AB7" s="24" t="e">
        <f>(P7*'Core Parameters'!$B$11*'Core Parameters'!$D$5)/(R7*'Core Parameters'!$D$6)</f>
        <v>#DIV/0!</v>
      </c>
      <c r="AC7" s="23" t="e">
        <f t="shared" ref="AC7:AC12" si="14">AB7*1013000000000*1000</f>
        <v>#DIV/0!</v>
      </c>
      <c r="AD7" s="24" t="e">
        <f>(P7*'Core Parameters'!$B$11*'Core Parameters'!$D$5)/(S7*'Core Parameters'!$D$6)</f>
        <v>#DIV/0!</v>
      </c>
      <c r="AE7" s="23" t="e">
        <f t="shared" si="5"/>
        <v>#DIV/0!</v>
      </c>
    </row>
    <row r="8" spans="1:31" x14ac:dyDescent="0.25">
      <c r="A8">
        <v>0.5</v>
      </c>
      <c r="E8" s="2" t="e">
        <f t="shared" si="10"/>
        <v>#DIV/0!</v>
      </c>
      <c r="K8" s="3"/>
      <c r="M8" s="3"/>
      <c r="N8" s="3">
        <f t="shared" si="6"/>
        <v>0.55000000000000004</v>
      </c>
      <c r="O8" s="25">
        <f t="shared" si="0"/>
        <v>0</v>
      </c>
      <c r="P8" s="25">
        <f t="shared" si="1"/>
        <v>0</v>
      </c>
      <c r="Q8" s="3">
        <f t="shared" si="2"/>
        <v>0</v>
      </c>
      <c r="R8" s="3">
        <f t="shared" si="3"/>
        <v>0</v>
      </c>
      <c r="S8" s="3">
        <f t="shared" si="4"/>
        <v>0</v>
      </c>
      <c r="T8" s="24" t="e">
        <f>(O8*'Core Parameters'!$B$10*'Core Parameters'!$D$5)/(Q8*'Core Parameters'!$D$6)</f>
        <v>#DIV/0!</v>
      </c>
      <c r="U8" s="23" t="e">
        <f t="shared" si="11"/>
        <v>#DIV/0!</v>
      </c>
      <c r="V8" s="24" t="e">
        <f>(O8*'Core Parameters'!$B$10*'Core Parameters'!$D$5)/(R8*'Core Parameters'!$D$6)</f>
        <v>#DIV/0!</v>
      </c>
      <c r="W8" s="23" t="e">
        <f t="shared" si="12"/>
        <v>#DIV/0!</v>
      </c>
      <c r="X8" s="24" t="e">
        <f>(O8*'Core Parameters'!$B$10*'Core Parameters'!$D$5)/(S8*'Core Parameters'!$D$6)</f>
        <v>#DIV/0!</v>
      </c>
      <c r="Y8" s="23" t="e">
        <f t="shared" si="8"/>
        <v>#DIV/0!</v>
      </c>
      <c r="Z8" s="24" t="e">
        <f>(P8*'Core Parameters'!$B$11*'Core Parameters'!$D$5)/(Q8*'Core Parameters'!$D$6)</f>
        <v>#DIV/0!</v>
      </c>
      <c r="AA8" s="23" t="e">
        <f t="shared" si="13"/>
        <v>#DIV/0!</v>
      </c>
      <c r="AB8" s="24" t="e">
        <f>(P8*'Core Parameters'!$B$11*'Core Parameters'!$D$5)/(R8*'Core Parameters'!$D$6)</f>
        <v>#DIV/0!</v>
      </c>
      <c r="AC8" s="23" t="e">
        <f t="shared" si="14"/>
        <v>#DIV/0!</v>
      </c>
      <c r="AD8" s="24" t="e">
        <f>(P8*'Core Parameters'!$B$11*'Core Parameters'!$D$5)/(S8*'Core Parameters'!$D$6)</f>
        <v>#DIV/0!</v>
      </c>
      <c r="AE8" s="23" t="e">
        <f t="shared" si="5"/>
        <v>#DIV/0!</v>
      </c>
    </row>
    <row r="9" spans="1:31" x14ac:dyDescent="0.25">
      <c r="A9">
        <v>0.25</v>
      </c>
      <c r="E9" s="2" t="e">
        <f t="shared" si="10"/>
        <v>#DIV/0!</v>
      </c>
      <c r="K9" s="3"/>
      <c r="M9" s="3"/>
      <c r="N9" s="3">
        <f t="shared" si="6"/>
        <v>0.55000000000000004</v>
      </c>
      <c r="O9" s="25">
        <f t="shared" si="0"/>
        <v>0</v>
      </c>
      <c r="P9" s="25">
        <f t="shared" si="1"/>
        <v>0</v>
      </c>
      <c r="Q9" s="3">
        <f t="shared" si="2"/>
        <v>0</v>
      </c>
      <c r="R9" s="3">
        <f t="shared" si="3"/>
        <v>0</v>
      </c>
      <c r="S9" s="3">
        <f t="shared" si="4"/>
        <v>0</v>
      </c>
      <c r="T9" s="24" t="e">
        <f>(O9*'Core Parameters'!$B$10*'Core Parameters'!$D$5)/(Q9*'Core Parameters'!$D$6)</f>
        <v>#DIV/0!</v>
      </c>
      <c r="U9" s="23" t="e">
        <f t="shared" si="11"/>
        <v>#DIV/0!</v>
      </c>
      <c r="V9" s="24" t="e">
        <f>(O9*'Core Parameters'!$B$10*'Core Parameters'!$D$5)/(R9*'Core Parameters'!$D$6)</f>
        <v>#DIV/0!</v>
      </c>
      <c r="W9" s="23" t="e">
        <f t="shared" si="12"/>
        <v>#DIV/0!</v>
      </c>
      <c r="X9" s="24" t="e">
        <f>(O9*'Core Parameters'!$B$10*'Core Parameters'!$D$5)/(S9*'Core Parameters'!$D$6)</f>
        <v>#DIV/0!</v>
      </c>
      <c r="Y9" s="23" t="e">
        <f t="shared" si="8"/>
        <v>#DIV/0!</v>
      </c>
      <c r="Z9" s="24" t="e">
        <f>(P9*'Core Parameters'!$B$11*'Core Parameters'!$D$5)/(Q9*'Core Parameters'!$D$6)</f>
        <v>#DIV/0!</v>
      </c>
      <c r="AA9" s="23" t="e">
        <f t="shared" si="13"/>
        <v>#DIV/0!</v>
      </c>
      <c r="AB9" s="24" t="e">
        <f>(P9*'Core Parameters'!$B$11*'Core Parameters'!$D$5)/(R9*'Core Parameters'!$D$6)</f>
        <v>#DIV/0!</v>
      </c>
      <c r="AC9" s="23" t="e">
        <f t="shared" si="14"/>
        <v>#DIV/0!</v>
      </c>
      <c r="AD9" s="24" t="e">
        <f>(P9*'Core Parameters'!$B$11*'Core Parameters'!$D$5)/(S9*'Core Parameters'!$D$6)</f>
        <v>#DIV/0!</v>
      </c>
      <c r="AE9" s="23" t="e">
        <f t="shared" si="5"/>
        <v>#DIV/0!</v>
      </c>
    </row>
    <row r="10" spans="1:31" x14ac:dyDescent="0.25">
      <c r="A10">
        <v>0.1</v>
      </c>
      <c r="E10" s="2" t="e">
        <f t="shared" si="10"/>
        <v>#DIV/0!</v>
      </c>
      <c r="K10" s="3"/>
      <c r="M10" s="3"/>
      <c r="N10" s="3">
        <f t="shared" si="6"/>
        <v>0.55000000000000004</v>
      </c>
      <c r="O10" s="25">
        <f t="shared" si="0"/>
        <v>0</v>
      </c>
      <c r="P10" s="25">
        <f t="shared" si="1"/>
        <v>0</v>
      </c>
      <c r="Q10" s="3">
        <f t="shared" si="2"/>
        <v>0</v>
      </c>
      <c r="R10" s="3">
        <f t="shared" si="3"/>
        <v>0</v>
      </c>
      <c r="S10" s="3">
        <f t="shared" si="4"/>
        <v>0</v>
      </c>
      <c r="T10" s="24" t="e">
        <f>(O10*'Core Parameters'!$B$10*'Core Parameters'!$D$5)/(Q10*'Core Parameters'!$D$6)</f>
        <v>#DIV/0!</v>
      </c>
      <c r="U10" s="23" t="e">
        <f t="shared" si="11"/>
        <v>#DIV/0!</v>
      </c>
      <c r="V10" s="24" t="e">
        <f>(O10*'Core Parameters'!$B$10*'Core Parameters'!$D$5)/(R10*'Core Parameters'!$D$6)</f>
        <v>#DIV/0!</v>
      </c>
      <c r="W10" s="23" t="e">
        <f t="shared" si="12"/>
        <v>#DIV/0!</v>
      </c>
      <c r="X10" s="24" t="e">
        <f>(O10*'Core Parameters'!$B$10*'Core Parameters'!$D$5)/(S10*'Core Parameters'!$D$6)</f>
        <v>#DIV/0!</v>
      </c>
      <c r="Y10" s="23" t="e">
        <f t="shared" si="8"/>
        <v>#DIV/0!</v>
      </c>
      <c r="Z10" s="24" t="e">
        <f>(P10*'Core Parameters'!$B$11*'Core Parameters'!$D$5)/(Q10*'Core Parameters'!$D$6)</f>
        <v>#DIV/0!</v>
      </c>
      <c r="AA10" s="23" t="e">
        <f t="shared" si="13"/>
        <v>#DIV/0!</v>
      </c>
      <c r="AB10" s="24" t="e">
        <f>(P10*'Core Parameters'!$B$11*'Core Parameters'!$D$5)/(R10*'Core Parameters'!$D$6)</f>
        <v>#DIV/0!</v>
      </c>
      <c r="AC10" s="23" t="e">
        <f t="shared" si="14"/>
        <v>#DIV/0!</v>
      </c>
      <c r="AD10" s="24" t="e">
        <f>(P10*'Core Parameters'!$B$11*'Core Parameters'!$D$5)/(S10*'Core Parameters'!$D$6)</f>
        <v>#DIV/0!</v>
      </c>
      <c r="AE10" s="23" t="e">
        <f t="shared" si="5"/>
        <v>#DIV/0!</v>
      </c>
    </row>
    <row r="11" spans="1:31" x14ac:dyDescent="0.25">
      <c r="A11">
        <v>0.01</v>
      </c>
      <c r="E11" s="1" t="e">
        <f t="shared" si="10"/>
        <v>#DIV/0!</v>
      </c>
      <c r="K11" s="3"/>
      <c r="M11" s="3"/>
      <c r="N11" s="3">
        <f t="shared" si="6"/>
        <v>0.55000000000000004</v>
      </c>
      <c r="O11" s="25">
        <f t="shared" si="0"/>
        <v>0</v>
      </c>
      <c r="P11" s="25">
        <f t="shared" si="1"/>
        <v>0</v>
      </c>
      <c r="Q11" s="3">
        <f t="shared" si="2"/>
        <v>0</v>
      </c>
      <c r="R11" s="3">
        <f t="shared" si="3"/>
        <v>0</v>
      </c>
      <c r="S11" s="3">
        <f t="shared" si="4"/>
        <v>0</v>
      </c>
      <c r="T11" s="24" t="e">
        <f>(O11*'Core Parameters'!$B$10*'Core Parameters'!$D$5)/(Q11*'Core Parameters'!$D$6)</f>
        <v>#DIV/0!</v>
      </c>
      <c r="U11" s="23" t="e">
        <f t="shared" si="11"/>
        <v>#DIV/0!</v>
      </c>
      <c r="V11" s="24" t="e">
        <f>(O11*'Core Parameters'!$B$10*'Core Parameters'!$D$5)/(R11*'Core Parameters'!$D$6)</f>
        <v>#DIV/0!</v>
      </c>
      <c r="W11" s="23" t="e">
        <f t="shared" si="12"/>
        <v>#DIV/0!</v>
      </c>
      <c r="X11" s="24" t="e">
        <f>(O11*'Core Parameters'!$B$10*'Core Parameters'!$D$5)/(S11*'Core Parameters'!$D$6)</f>
        <v>#DIV/0!</v>
      </c>
      <c r="Y11" s="23" t="e">
        <f t="shared" si="8"/>
        <v>#DIV/0!</v>
      </c>
      <c r="Z11" s="24" t="e">
        <f>(P11*'Core Parameters'!$B$11*'Core Parameters'!$D$5)/(Q11*'Core Parameters'!$D$6)</f>
        <v>#DIV/0!</v>
      </c>
      <c r="AA11" s="23" t="e">
        <f t="shared" si="13"/>
        <v>#DIV/0!</v>
      </c>
      <c r="AB11" s="24" t="e">
        <f>(P11*'Core Parameters'!$B$11*'Core Parameters'!$D$5)/(R11*'Core Parameters'!$D$6)</f>
        <v>#DIV/0!</v>
      </c>
      <c r="AC11" s="23" t="e">
        <f t="shared" si="14"/>
        <v>#DIV/0!</v>
      </c>
      <c r="AD11" s="24" t="e">
        <f>(P11*'Core Parameters'!$B$11*'Core Parameters'!$D$5)/(S11*'Core Parameters'!$D$6)</f>
        <v>#DIV/0!</v>
      </c>
      <c r="AE11" s="23" t="e">
        <f t="shared" si="5"/>
        <v>#DIV/0!</v>
      </c>
    </row>
    <row r="12" spans="1:31" x14ac:dyDescent="0.25">
      <c r="A12">
        <v>0</v>
      </c>
      <c r="E12" s="2" t="e">
        <f t="shared" si="10"/>
        <v>#DIV/0!</v>
      </c>
      <c r="K12" s="3"/>
      <c r="M12" s="3"/>
      <c r="N12" s="3">
        <f t="shared" si="6"/>
        <v>0.55000000000000004</v>
      </c>
      <c r="O12" s="25">
        <f t="shared" si="0"/>
        <v>0</v>
      </c>
      <c r="P12" s="25">
        <f t="shared" si="1"/>
        <v>0</v>
      </c>
      <c r="Q12" s="3">
        <f t="shared" si="2"/>
        <v>0</v>
      </c>
      <c r="R12" s="3">
        <f t="shared" si="3"/>
        <v>0</v>
      </c>
      <c r="S12" s="3">
        <f t="shared" si="4"/>
        <v>0</v>
      </c>
      <c r="T12" s="24" t="e">
        <f>(O12*'Core Parameters'!$B$10*'Core Parameters'!$D$5)/(Q12*'Core Parameters'!$D$6)</f>
        <v>#DIV/0!</v>
      </c>
      <c r="U12" s="23" t="e">
        <f t="shared" si="11"/>
        <v>#DIV/0!</v>
      </c>
      <c r="V12" s="24" t="e">
        <f>(O12*'Core Parameters'!$B$10*'Core Parameters'!$D$5)/(R12*'Core Parameters'!$D$6)</f>
        <v>#DIV/0!</v>
      </c>
      <c r="W12" s="23" t="e">
        <f t="shared" si="12"/>
        <v>#DIV/0!</v>
      </c>
      <c r="X12" s="24" t="e">
        <f>(O12*'Core Parameters'!$B$10*'Core Parameters'!$D$5)/(S12*'Core Parameters'!$D$6)</f>
        <v>#DIV/0!</v>
      </c>
      <c r="Y12" s="23" t="e">
        <f t="shared" si="8"/>
        <v>#DIV/0!</v>
      </c>
      <c r="Z12" s="24" t="e">
        <f>(P12*'Core Parameters'!$B$11*'Core Parameters'!$D$5)/(Q12*'Core Parameters'!$D$6)</f>
        <v>#DIV/0!</v>
      </c>
      <c r="AA12" s="23" t="e">
        <f t="shared" si="13"/>
        <v>#DIV/0!</v>
      </c>
      <c r="AB12" s="24" t="e">
        <f>(P12*'Core Parameters'!$B$11*'Core Parameters'!$D$5)/(R12*'Core Parameters'!$D$6)</f>
        <v>#DIV/0!</v>
      </c>
      <c r="AC12" s="23" t="e">
        <f t="shared" si="14"/>
        <v>#DIV/0!</v>
      </c>
      <c r="AD12" s="24" t="e">
        <f>(P12*'Core Parameters'!$B$11*'Core Parameters'!$D$5)/(S12*'Core Parameters'!$D$6)</f>
        <v>#DIV/0!</v>
      </c>
      <c r="AE12" s="23" t="e">
        <f t="shared" si="5"/>
        <v>#DIV/0!</v>
      </c>
    </row>
    <row r="13" spans="1:31" x14ac:dyDescent="0.25">
      <c r="H13" s="6"/>
      <c r="M13" s="3"/>
      <c r="AC13" s="3"/>
    </row>
    <row r="14" spans="1:31" x14ac:dyDescent="0.25">
      <c r="M14" t="s">
        <v>127</v>
      </c>
      <c r="N14" s="3">
        <v>0.1</v>
      </c>
    </row>
    <row r="16" spans="1:31" x14ac:dyDescent="0.25">
      <c r="A16" s="31" t="s">
        <v>138</v>
      </c>
      <c r="B16" s="31"/>
      <c r="C16" s="31" t="s">
        <v>132</v>
      </c>
      <c r="D16" s="31" t="s">
        <v>134</v>
      </c>
      <c r="E16" s="31" t="s">
        <v>135</v>
      </c>
      <c r="I16" s="3"/>
      <c r="K16" s="3"/>
      <c r="N16"/>
      <c r="O16"/>
      <c r="Q16" s="3"/>
      <c r="R16" s="3"/>
      <c r="S16" s="3"/>
      <c r="Z16"/>
      <c r="AA16"/>
      <c r="AB16"/>
    </row>
    <row r="17" spans="1:28" x14ac:dyDescent="0.25">
      <c r="A17" s="30" t="s">
        <v>10</v>
      </c>
      <c r="B17" s="30" t="s">
        <v>133</v>
      </c>
      <c r="C17" s="27" t="s">
        <v>101</v>
      </c>
      <c r="D17" s="27" t="s">
        <v>101</v>
      </c>
      <c r="E17" s="27" t="s">
        <v>101</v>
      </c>
      <c r="F17" s="27" t="s">
        <v>141</v>
      </c>
      <c r="I17" s="3"/>
      <c r="K17" s="3"/>
      <c r="N17"/>
      <c r="O17"/>
      <c r="Q17" s="3"/>
      <c r="R17" s="3"/>
      <c r="S17" s="3"/>
      <c r="Z17"/>
      <c r="AA17"/>
      <c r="AB17"/>
    </row>
    <row r="18" spans="1:28" x14ac:dyDescent="0.25">
      <c r="A18">
        <v>0.6</v>
      </c>
      <c r="B18">
        <f>1-A18</f>
        <v>0.4</v>
      </c>
      <c r="C18" s="2">
        <f t="shared" ref="C18:C26" si="15">U4/$J$20</f>
        <v>5.3681606513289022E-2</v>
      </c>
      <c r="D18" s="2">
        <f t="shared" ref="D18:D26" si="16">W4/$J$20</f>
        <v>5.3681606513289022E-2</v>
      </c>
      <c r="E18" s="2">
        <f t="shared" ref="E18:E26" si="17">Y4/$J$20</f>
        <v>5.3681606513289022E-2</v>
      </c>
      <c r="F18" s="2">
        <f>AVERAGE(C18:E18)</f>
        <v>5.3681606513289022E-2</v>
      </c>
      <c r="I18" s="3"/>
      <c r="K18" s="3"/>
      <c r="N18"/>
      <c r="O18"/>
      <c r="Q18" s="3"/>
      <c r="R18" s="3"/>
      <c r="S18" s="3"/>
      <c r="Z18"/>
      <c r="AA18"/>
      <c r="AB18"/>
    </row>
    <row r="19" spans="1:28" x14ac:dyDescent="0.25">
      <c r="A19" s="3">
        <v>0.55000000000000004</v>
      </c>
      <c r="B19" s="3">
        <f t="shared" ref="B19:B26" si="18">1-A19</f>
        <v>0.44999999999999996</v>
      </c>
      <c r="C19" s="2">
        <f t="shared" si="15"/>
        <v>5.9646229459210019E-2</v>
      </c>
      <c r="D19" s="2">
        <f t="shared" si="16"/>
        <v>5.3681606513289022E-2</v>
      </c>
      <c r="E19" s="2">
        <f t="shared" si="17"/>
        <v>4.4734672094407513E-2</v>
      </c>
      <c r="F19" s="2">
        <f>AVERAGE(C19:E19)</f>
        <v>5.2687502688968851E-2</v>
      </c>
      <c r="I19" s="3"/>
      <c r="K19" s="3"/>
      <c r="N19"/>
      <c r="O19"/>
      <c r="Q19" s="3"/>
      <c r="R19" s="3"/>
      <c r="S19" s="3"/>
      <c r="Z19"/>
      <c r="AA19"/>
      <c r="AB19"/>
    </row>
    <row r="20" spans="1:28" x14ac:dyDescent="0.25">
      <c r="A20" s="3">
        <v>0.83</v>
      </c>
      <c r="B20" s="3">
        <f t="shared" si="18"/>
        <v>0.17000000000000004</v>
      </c>
      <c r="C20" s="2">
        <f t="shared" si="15"/>
        <v>0.43466887865011344</v>
      </c>
      <c r="D20" s="2">
        <f t="shared" si="16"/>
        <v>0.34858186047590273</v>
      </c>
      <c r="E20" s="2">
        <f t="shared" si="17"/>
        <v>0.38072061356942566</v>
      </c>
      <c r="F20" s="2">
        <f>AVERAGE(C20:E20)</f>
        <v>0.38799045089848061</v>
      </c>
      <c r="I20" s="28" t="s">
        <v>139</v>
      </c>
      <c r="J20" s="28">
        <v>250</v>
      </c>
      <c r="K20" s="3"/>
      <c r="N20"/>
      <c r="O20"/>
      <c r="Q20" s="3"/>
      <c r="R20" s="3"/>
      <c r="S20" s="3"/>
      <c r="Z20"/>
      <c r="AA20"/>
      <c r="AB20"/>
    </row>
    <row r="21" spans="1:28" x14ac:dyDescent="0.25">
      <c r="A21" s="3">
        <f t="shared" ref="A21:A26" si="19">N7</f>
        <v>0.55000000000000004</v>
      </c>
      <c r="B21" s="3">
        <f t="shared" si="18"/>
        <v>0.44999999999999996</v>
      </c>
      <c r="C21" s="2" t="e">
        <f t="shared" si="15"/>
        <v>#DIV/0!</v>
      </c>
      <c r="D21" s="2" t="e">
        <f t="shared" si="16"/>
        <v>#DIV/0!</v>
      </c>
      <c r="E21" s="2" t="e">
        <f t="shared" si="17"/>
        <v>#DIV/0!</v>
      </c>
      <c r="I21" s="28" t="s">
        <v>120</v>
      </c>
      <c r="J21" s="28">
        <v>92.3</v>
      </c>
      <c r="K21" s="3"/>
      <c r="N21"/>
      <c r="O21"/>
      <c r="Q21" s="3"/>
      <c r="R21" s="3"/>
      <c r="S21" s="3"/>
      <c r="Z21"/>
      <c r="AA21"/>
      <c r="AB21"/>
    </row>
    <row r="22" spans="1:28" x14ac:dyDescent="0.25">
      <c r="A22" s="3">
        <f t="shared" si="19"/>
        <v>0.55000000000000004</v>
      </c>
      <c r="B22" s="3">
        <f t="shared" si="18"/>
        <v>0.44999999999999996</v>
      </c>
      <c r="C22" s="2" t="e">
        <f t="shared" si="15"/>
        <v>#DIV/0!</v>
      </c>
      <c r="D22" s="2" t="e">
        <f t="shared" si="16"/>
        <v>#DIV/0!</v>
      </c>
      <c r="E22" s="2" t="e">
        <f t="shared" si="17"/>
        <v>#DIV/0!</v>
      </c>
      <c r="I22" s="28" t="s">
        <v>127</v>
      </c>
      <c r="J22" s="28">
        <f>J21-L13</f>
        <v>92.3</v>
      </c>
      <c r="K22" s="3">
        <f>J22/J21</f>
        <v>1</v>
      </c>
      <c r="N22"/>
      <c r="O22"/>
      <c r="Q22" s="3"/>
      <c r="R22" s="3"/>
      <c r="S22" s="3"/>
      <c r="Z22"/>
      <c r="AA22"/>
      <c r="AB22"/>
    </row>
    <row r="23" spans="1:28" x14ac:dyDescent="0.25">
      <c r="A23" s="3">
        <f t="shared" si="19"/>
        <v>0.55000000000000004</v>
      </c>
      <c r="B23" s="3">
        <f t="shared" si="18"/>
        <v>0.44999999999999996</v>
      </c>
      <c r="C23" s="2" t="e">
        <f t="shared" si="15"/>
        <v>#DIV/0!</v>
      </c>
      <c r="D23" s="2" t="e">
        <f t="shared" si="16"/>
        <v>#DIV/0!</v>
      </c>
      <c r="E23" s="2" t="e">
        <f t="shared" si="17"/>
        <v>#DIV/0!</v>
      </c>
      <c r="I23" s="3"/>
      <c r="K23" s="3"/>
      <c r="N23"/>
      <c r="O23"/>
      <c r="Q23" s="3"/>
      <c r="R23" s="3"/>
      <c r="S23" s="3"/>
      <c r="Z23"/>
      <c r="AA23"/>
      <c r="AB23"/>
    </row>
    <row r="24" spans="1:28" x14ac:dyDescent="0.25">
      <c r="A24" s="3">
        <f t="shared" si="19"/>
        <v>0.55000000000000004</v>
      </c>
      <c r="B24" s="3">
        <f t="shared" si="18"/>
        <v>0.44999999999999996</v>
      </c>
      <c r="C24" s="2" t="e">
        <f t="shared" si="15"/>
        <v>#DIV/0!</v>
      </c>
      <c r="D24" s="2" t="e">
        <f t="shared" si="16"/>
        <v>#DIV/0!</v>
      </c>
      <c r="E24" s="2" t="e">
        <f t="shared" si="17"/>
        <v>#DIV/0!</v>
      </c>
      <c r="I24" s="3"/>
      <c r="K24" s="3"/>
      <c r="N24"/>
      <c r="O24"/>
      <c r="Q24" s="3"/>
      <c r="R24" s="3"/>
      <c r="S24" s="3"/>
      <c r="Z24"/>
      <c r="AA24"/>
      <c r="AB24"/>
    </row>
    <row r="25" spans="1:28" x14ac:dyDescent="0.25">
      <c r="A25" s="3">
        <f t="shared" si="19"/>
        <v>0.55000000000000004</v>
      </c>
      <c r="B25" s="3">
        <f t="shared" si="18"/>
        <v>0.44999999999999996</v>
      </c>
      <c r="C25" s="2" t="e">
        <f t="shared" si="15"/>
        <v>#DIV/0!</v>
      </c>
      <c r="D25" s="2" t="e">
        <f t="shared" si="16"/>
        <v>#DIV/0!</v>
      </c>
      <c r="E25" s="2" t="e">
        <f t="shared" si="17"/>
        <v>#DIV/0!</v>
      </c>
      <c r="I25" s="3"/>
      <c r="K25" s="3"/>
      <c r="N25"/>
      <c r="O25"/>
      <c r="Q25" s="3"/>
      <c r="R25" s="3"/>
      <c r="S25" s="3"/>
      <c r="Z25"/>
      <c r="AA25"/>
      <c r="AB25"/>
    </row>
    <row r="26" spans="1:28" x14ac:dyDescent="0.25">
      <c r="A26" s="3">
        <f t="shared" si="19"/>
        <v>0.55000000000000004</v>
      </c>
      <c r="B26" s="3">
        <f t="shared" si="18"/>
        <v>0.44999999999999996</v>
      </c>
      <c r="C26" s="2" t="e">
        <f t="shared" si="15"/>
        <v>#DIV/0!</v>
      </c>
      <c r="D26" s="2" t="e">
        <f t="shared" si="16"/>
        <v>#DIV/0!</v>
      </c>
      <c r="E26" s="2" t="e">
        <f t="shared" si="17"/>
        <v>#DIV/0!</v>
      </c>
      <c r="I26" s="3"/>
      <c r="K26" s="3"/>
      <c r="N26"/>
      <c r="O26"/>
      <c r="Q26" s="3"/>
      <c r="R26" s="3"/>
      <c r="S26" s="3"/>
      <c r="Z26"/>
      <c r="AA26"/>
      <c r="AB26"/>
    </row>
    <row r="36" spans="1:6" x14ac:dyDescent="0.25">
      <c r="A36" s="35" t="s">
        <v>123</v>
      </c>
      <c r="B36" s="35"/>
      <c r="C36" s="35"/>
      <c r="D36" s="35"/>
      <c r="E36" s="35"/>
    </row>
    <row r="37" spans="1:6" x14ac:dyDescent="0.25">
      <c r="A37" s="6" t="s">
        <v>10</v>
      </c>
      <c r="B37" s="6" t="s">
        <v>101</v>
      </c>
      <c r="C37" s="6" t="s">
        <v>102</v>
      </c>
      <c r="D37" s="6" t="s">
        <v>105</v>
      </c>
      <c r="E37" s="6" t="s">
        <v>126</v>
      </c>
    </row>
    <row r="38" spans="1:6" x14ac:dyDescent="0.25">
      <c r="A38" s="3">
        <v>0</v>
      </c>
      <c r="B38" s="3">
        <f>((A38-$N$14)/(1-$N$14))^4</f>
        <v>1.5241579027587261E-4</v>
      </c>
      <c r="C38" s="3">
        <f>(((1-A38))/(1-$N$14))^2</f>
        <v>1.2345679012345681</v>
      </c>
      <c r="D38" s="3">
        <f>B38/(B38+C38/0.02)</f>
        <v>2.4691297058525783E-6</v>
      </c>
      <c r="E38" s="2">
        <f>1-D38</f>
        <v>0.99999753087029419</v>
      </c>
    </row>
    <row r="39" spans="1:6" x14ac:dyDescent="0.25">
      <c r="A39" s="3">
        <v>0.05</v>
      </c>
      <c r="B39" s="3">
        <f t="shared" ref="B39:B58" si="20">((A39-$N$14)/(1-$N$14))^4</f>
        <v>9.5259868922420382E-6</v>
      </c>
      <c r="C39" s="3">
        <f>(((1-A39))/(1-$N$14))^2</f>
        <v>1.1141975308641976</v>
      </c>
      <c r="D39" s="3">
        <f t="shared" ref="D39:D58" si="21">B39/(B39+C39/0.02)</f>
        <v>1.709927548659836E-7</v>
      </c>
      <c r="E39" s="2">
        <f>1-D39</f>
        <v>0.99999982900724516</v>
      </c>
    </row>
    <row r="40" spans="1:6" x14ac:dyDescent="0.25">
      <c r="A40" s="3">
        <v>0.1</v>
      </c>
      <c r="B40" s="3">
        <f t="shared" si="20"/>
        <v>0</v>
      </c>
      <c r="C40" s="3">
        <f t="shared" ref="C40:C58" si="22">(((1-A40))/(1-$N$14))^2</f>
        <v>1</v>
      </c>
      <c r="D40" s="3">
        <f t="shared" si="21"/>
        <v>0</v>
      </c>
      <c r="E40" s="2">
        <f t="shared" ref="E40:E58" si="23">1-D40</f>
        <v>1</v>
      </c>
    </row>
    <row r="41" spans="1:6" x14ac:dyDescent="0.25">
      <c r="A41" s="3">
        <v>0.15</v>
      </c>
      <c r="B41" s="3">
        <f t="shared" si="20"/>
        <v>9.5259868922420247E-6</v>
      </c>
      <c r="C41" s="3">
        <f t="shared" si="22"/>
        <v>0.89197530864197527</v>
      </c>
      <c r="D41" s="3">
        <f t="shared" si="21"/>
        <v>2.1359301687534323E-7</v>
      </c>
      <c r="E41" s="2">
        <f t="shared" si="23"/>
        <v>0.99999978640698317</v>
      </c>
    </row>
    <row r="42" spans="1:6" x14ac:dyDescent="0.25">
      <c r="A42" s="3">
        <v>0.2</v>
      </c>
      <c r="B42" s="3">
        <f t="shared" si="20"/>
        <v>1.5241579027587261E-4</v>
      </c>
      <c r="C42" s="3">
        <f t="shared" si="22"/>
        <v>0.79012345679012352</v>
      </c>
      <c r="D42" s="3">
        <f t="shared" si="21"/>
        <v>3.8580098070609303E-6</v>
      </c>
      <c r="E42" s="2">
        <f t="shared" si="23"/>
        <v>0.99999614199019293</v>
      </c>
    </row>
    <row r="43" spans="1:6" x14ac:dyDescent="0.25">
      <c r="A43" s="3">
        <v>0.25</v>
      </c>
      <c r="B43" s="3">
        <f t="shared" si="20"/>
        <v>7.716049382716049E-4</v>
      </c>
      <c r="C43" s="3">
        <f t="shared" si="22"/>
        <v>0.69444444444444431</v>
      </c>
      <c r="D43" s="3">
        <f t="shared" si="21"/>
        <v>2.2221728406035426E-5</v>
      </c>
      <c r="E43" s="2">
        <f t="shared" si="23"/>
        <v>0.99997777827159395</v>
      </c>
    </row>
    <row r="44" spans="1:6" x14ac:dyDescent="0.25">
      <c r="A44" s="3">
        <v>0.3</v>
      </c>
      <c r="B44" s="3">
        <f t="shared" si="20"/>
        <v>2.4386526444139609E-3</v>
      </c>
      <c r="C44" s="3">
        <f t="shared" si="22"/>
        <v>0.60493827160493807</v>
      </c>
      <c r="D44" s="3">
        <f t="shared" si="21"/>
        <v>8.0618342688420195E-5</v>
      </c>
      <c r="E44" s="2">
        <f t="shared" si="23"/>
        <v>0.99991938165731153</v>
      </c>
    </row>
    <row r="45" spans="1:6" x14ac:dyDescent="0.25">
      <c r="A45" s="3">
        <v>0.35</v>
      </c>
      <c r="B45" s="3">
        <f t="shared" si="20"/>
        <v>5.9537418076512699E-3</v>
      </c>
      <c r="C45" s="3">
        <f t="shared" si="22"/>
        <v>0.52160493827160492</v>
      </c>
      <c r="D45" s="3">
        <f t="shared" si="21"/>
        <v>2.2823338232743262E-4</v>
      </c>
      <c r="E45" s="2">
        <f t="shared" si="23"/>
        <v>0.99977176661767253</v>
      </c>
    </row>
    <row r="46" spans="1:6" x14ac:dyDescent="0.25">
      <c r="A46" s="3">
        <v>0.4</v>
      </c>
      <c r="B46" s="3">
        <f t="shared" si="20"/>
        <v>1.2345679012345684E-2</v>
      </c>
      <c r="C46" s="3">
        <f t="shared" si="22"/>
        <v>0.44444444444444442</v>
      </c>
      <c r="D46" s="3">
        <f t="shared" si="21"/>
        <v>5.5524708495280426E-4</v>
      </c>
      <c r="E46" s="2">
        <f t="shared" si="23"/>
        <v>0.9994447529150472</v>
      </c>
    </row>
    <row r="47" spans="1:6" x14ac:dyDescent="0.25">
      <c r="A47" s="3">
        <v>0.45</v>
      </c>
      <c r="B47" s="3">
        <f t="shared" si="20"/>
        <v>2.2871894528273113E-2</v>
      </c>
      <c r="C47" s="3">
        <f t="shared" si="22"/>
        <v>0.37345679012345684</v>
      </c>
      <c r="D47" s="3">
        <f t="shared" si="21"/>
        <v>1.2233765294117338E-3</v>
      </c>
      <c r="E47" s="2">
        <f t="shared" si="23"/>
        <v>0.99877662347058827</v>
      </c>
    </row>
    <row r="48" spans="1:6" x14ac:dyDescent="0.25">
      <c r="A48" s="3">
        <v>0.5</v>
      </c>
      <c r="B48" s="3">
        <f t="shared" si="20"/>
        <v>3.9018442310623389E-2</v>
      </c>
      <c r="C48" s="3">
        <f t="shared" si="22"/>
        <v>0.30864197530864201</v>
      </c>
      <c r="D48" s="3">
        <f t="shared" si="21"/>
        <v>2.5220184028530335E-3</v>
      </c>
      <c r="E48" s="2">
        <f t="shared" si="23"/>
        <v>0.99747798159714696</v>
      </c>
      <c r="F48" s="2"/>
    </row>
    <row r="49" spans="1:6" x14ac:dyDescent="0.25">
      <c r="A49" s="3">
        <v>0.55000000000000004</v>
      </c>
      <c r="B49" s="3">
        <f t="shared" si="20"/>
        <v>6.2500000000000056E-2</v>
      </c>
      <c r="C49" s="3">
        <f t="shared" si="22"/>
        <v>0.24999999999999994</v>
      </c>
      <c r="D49" s="3">
        <f t="shared" si="21"/>
        <v>4.9751243781094587E-3</v>
      </c>
      <c r="E49" s="2">
        <f t="shared" si="23"/>
        <v>0.99502487562189057</v>
      </c>
      <c r="F49" s="2"/>
    </row>
    <row r="50" spans="1:6" x14ac:dyDescent="0.25">
      <c r="A50" s="3">
        <v>0.6</v>
      </c>
      <c r="B50" s="3">
        <f t="shared" si="20"/>
        <v>9.5259868922420388E-2</v>
      </c>
      <c r="C50" s="3">
        <f t="shared" si="22"/>
        <v>0.19753086419753088</v>
      </c>
      <c r="D50" s="3">
        <f t="shared" si="21"/>
        <v>9.5529231944975167E-3</v>
      </c>
      <c r="E50" s="2">
        <f t="shared" si="23"/>
        <v>0.99044707680550248</v>
      </c>
    </row>
    <row r="51" spans="1:6" x14ac:dyDescent="0.25">
      <c r="A51" s="3">
        <v>0.65</v>
      </c>
      <c r="B51" s="3">
        <f t="shared" si="20"/>
        <v>0.13946997408931569</v>
      </c>
      <c r="C51" s="3">
        <f t="shared" si="22"/>
        <v>0.15123456790123452</v>
      </c>
      <c r="D51" s="3">
        <f t="shared" si="21"/>
        <v>1.8110165120274711E-2</v>
      </c>
      <c r="E51" s="2">
        <f t="shared" si="23"/>
        <v>0.98188983487972525</v>
      </c>
    </row>
    <row r="52" spans="1:6" x14ac:dyDescent="0.25">
      <c r="A52" s="3">
        <v>0.7</v>
      </c>
      <c r="B52" s="3">
        <f t="shared" si="20"/>
        <v>0.19753086419753085</v>
      </c>
      <c r="C52" s="3">
        <f t="shared" si="22"/>
        <v>0.11111111111111113</v>
      </c>
      <c r="D52" s="3">
        <f t="shared" si="21"/>
        <v>3.4334763948497847E-2</v>
      </c>
      <c r="E52" s="2">
        <f t="shared" si="23"/>
        <v>0.96566523605150212</v>
      </c>
    </row>
    <row r="53" spans="1:6" x14ac:dyDescent="0.25">
      <c r="A53" s="3">
        <v>0.75</v>
      </c>
      <c r="B53" s="3">
        <f t="shared" si="20"/>
        <v>0.27207171162932481</v>
      </c>
      <c r="C53" s="3">
        <f t="shared" si="22"/>
        <v>7.7160493827160503E-2</v>
      </c>
      <c r="D53" s="3">
        <f t="shared" si="21"/>
        <v>6.5875390083517657E-2</v>
      </c>
      <c r="E53" s="2">
        <f t="shared" si="23"/>
        <v>0.93412460991648238</v>
      </c>
    </row>
    <row r="54" spans="1:6" x14ac:dyDescent="0.25">
      <c r="A54" s="3">
        <v>0.8</v>
      </c>
      <c r="B54" s="3">
        <f t="shared" si="20"/>
        <v>0.36595031245237009</v>
      </c>
      <c r="C54" s="3">
        <f t="shared" si="22"/>
        <v>4.9382716049382686E-2</v>
      </c>
      <c r="D54" s="3">
        <f t="shared" si="21"/>
        <v>0.1290790817697974</v>
      </c>
      <c r="E54" s="2">
        <f t="shared" si="23"/>
        <v>0.87092091823020257</v>
      </c>
    </row>
    <row r="55" spans="1:6" x14ac:dyDescent="0.25">
      <c r="A55" s="3">
        <v>0.85</v>
      </c>
      <c r="B55" s="3">
        <f t="shared" si="20"/>
        <v>0.4822530864197529</v>
      </c>
      <c r="C55" s="3">
        <f t="shared" si="22"/>
        <v>2.7777777777777783E-2</v>
      </c>
      <c r="D55" s="3">
        <f t="shared" si="21"/>
        <v>0.25773195876288651</v>
      </c>
      <c r="E55" s="2">
        <f t="shared" si="23"/>
        <v>0.74226804123711343</v>
      </c>
    </row>
    <row r="56" spans="1:6" x14ac:dyDescent="0.25">
      <c r="A56" s="3">
        <v>0.9</v>
      </c>
      <c r="B56" s="3">
        <f t="shared" si="20"/>
        <v>0.62429507696997422</v>
      </c>
      <c r="C56" s="3">
        <f t="shared" si="22"/>
        <v>1.2345679012345671E-2</v>
      </c>
      <c r="D56" s="3">
        <f t="shared" si="21"/>
        <v>0.50282347164252417</v>
      </c>
      <c r="E56" s="2">
        <f t="shared" si="23"/>
        <v>0.49717652835747583</v>
      </c>
    </row>
    <row r="57" spans="1:6" x14ac:dyDescent="0.25">
      <c r="A57" s="3">
        <v>0.95</v>
      </c>
      <c r="B57" s="3">
        <f t="shared" si="20"/>
        <v>0.79561995122694706</v>
      </c>
      <c r="C57" s="3">
        <f t="shared" si="22"/>
        <v>3.0864197530864248E-3</v>
      </c>
      <c r="D57" s="3">
        <f t="shared" si="21"/>
        <v>0.83754675544769885</v>
      </c>
      <c r="E57" s="2">
        <f t="shared" si="23"/>
        <v>0.16245324455230115</v>
      </c>
    </row>
    <row r="58" spans="1:6" x14ac:dyDescent="0.25">
      <c r="A58" s="3">
        <v>1</v>
      </c>
      <c r="B58" s="3">
        <f t="shared" si="20"/>
        <v>1</v>
      </c>
      <c r="C58" s="3">
        <f t="shared" si="22"/>
        <v>0</v>
      </c>
      <c r="D58" s="3">
        <f t="shared" si="21"/>
        <v>1</v>
      </c>
      <c r="E58" s="2">
        <f t="shared" si="23"/>
        <v>0</v>
      </c>
    </row>
    <row r="59" spans="1:6" x14ac:dyDescent="0.25">
      <c r="C59" s="3"/>
      <c r="D59" s="3"/>
    </row>
  </sheetData>
  <mergeCells count="13">
    <mergeCell ref="A36:E36"/>
    <mergeCell ref="AB2:AC2"/>
    <mergeCell ref="AD2:AE2"/>
    <mergeCell ref="O1:AE1"/>
    <mergeCell ref="B2:D2"/>
    <mergeCell ref="F2:H2"/>
    <mergeCell ref="A1:N1"/>
    <mergeCell ref="O2:S2"/>
    <mergeCell ref="I2:N2"/>
    <mergeCell ref="Z2:AA2"/>
    <mergeCell ref="T2:U2"/>
    <mergeCell ref="V2:W2"/>
    <mergeCell ref="X2:Y2"/>
  </mergeCells>
  <pageMargins left="0.7" right="0.7" top="0.75" bottom="0.75" header="0.3" footer="0.3"/>
  <pageSetup paperSize="1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DD56A-C8EC-4642-BDFD-C20A3977DE96}">
  <dimension ref="A1:O30"/>
  <sheetViews>
    <sheetView workbookViewId="0">
      <selection activeCell="E30" sqref="E30"/>
    </sheetView>
  </sheetViews>
  <sheetFormatPr defaultRowHeight="15" x14ac:dyDescent="0.25"/>
  <cols>
    <col min="1" max="1" width="33.85546875" style="3" bestFit="1" customWidth="1"/>
    <col min="2" max="2" width="15.7109375" style="3" bestFit="1" customWidth="1"/>
    <col min="3" max="4" width="9.140625" style="3"/>
    <col min="5" max="5" width="16" style="3" customWidth="1"/>
    <col min="6" max="6" width="15.7109375" style="3" bestFit="1" customWidth="1"/>
    <col min="7" max="8" width="9.140625" style="3"/>
    <col min="9" max="9" width="13.5703125" style="3" bestFit="1" customWidth="1"/>
    <col min="10" max="10" width="15.7109375" style="3" bestFit="1" customWidth="1"/>
    <col min="11" max="12" width="9.140625" style="3"/>
    <col min="13" max="13" width="13.5703125" style="3" bestFit="1" customWidth="1"/>
    <col min="14" max="14" width="15.7109375" style="3" bestFit="1" customWidth="1"/>
    <col min="15" max="16384" width="9.140625" style="3"/>
  </cols>
  <sheetData>
    <row r="1" spans="1:15" x14ac:dyDescent="0.25">
      <c r="A1" s="38" t="s">
        <v>55</v>
      </c>
      <c r="B1" s="38"/>
      <c r="C1" s="38"/>
    </row>
    <row r="2" spans="1:15" x14ac:dyDescent="0.25">
      <c r="A2" s="3" t="s">
        <v>56</v>
      </c>
      <c r="B2" s="3">
        <f>'[1]Packing Conditions'!C2</f>
        <v>637.08331346928389</v>
      </c>
      <c r="C2" s="3" t="s">
        <v>20</v>
      </c>
    </row>
    <row r="3" spans="1:15" x14ac:dyDescent="0.25">
      <c r="A3" s="3" t="s">
        <v>57</v>
      </c>
      <c r="B3" s="3">
        <f>'[1]Packing Conditions'!E2</f>
        <v>509.66665077542712</v>
      </c>
      <c r="C3" s="3" t="s">
        <v>20</v>
      </c>
      <c r="G3" s="38" t="s">
        <v>11</v>
      </c>
      <c r="H3" s="38"/>
      <c r="I3" s="38"/>
      <c r="J3" s="38"/>
      <c r="K3" s="38"/>
    </row>
    <row r="4" spans="1:15" x14ac:dyDescent="0.25">
      <c r="A4" s="3" t="s">
        <v>58</v>
      </c>
      <c r="B4" s="3">
        <f>B2*H11</f>
        <v>95.562497020392584</v>
      </c>
      <c r="C4" s="3" t="s">
        <v>20</v>
      </c>
      <c r="G4" s="41" t="s">
        <v>12</v>
      </c>
      <c r="H4" s="41"/>
      <c r="I4" s="41"/>
      <c r="J4" s="41"/>
      <c r="K4" s="41"/>
    </row>
    <row r="5" spans="1:15" x14ac:dyDescent="0.25">
      <c r="A5" s="3" t="s">
        <v>59</v>
      </c>
      <c r="B5" s="3">
        <f>H10*B4</f>
        <v>79.316872526925835</v>
      </c>
      <c r="C5" s="3" t="s">
        <v>20</v>
      </c>
      <c r="G5" s="4" t="s">
        <v>13</v>
      </c>
      <c r="H5" s="3">
        <v>1.5</v>
      </c>
      <c r="I5" s="3" t="s">
        <v>14</v>
      </c>
      <c r="J5" s="3">
        <f>H5*2.54</f>
        <v>3.81</v>
      </c>
      <c r="K5" s="4" t="s">
        <v>15</v>
      </c>
    </row>
    <row r="6" spans="1:15" x14ac:dyDescent="0.25">
      <c r="A6" s="3" t="s">
        <v>143</v>
      </c>
      <c r="B6" s="3">
        <f>B4*(1-H10)</f>
        <v>16.245624493466742</v>
      </c>
      <c r="C6" s="3" t="s">
        <v>20</v>
      </c>
      <c r="G6" s="4"/>
      <c r="K6" s="4"/>
    </row>
    <row r="7" spans="1:15" x14ac:dyDescent="0.25">
      <c r="A7" s="3" t="s">
        <v>60</v>
      </c>
      <c r="B7" s="3">
        <v>1</v>
      </c>
      <c r="C7" s="3" t="s">
        <v>61</v>
      </c>
      <c r="G7" s="5" t="s">
        <v>16</v>
      </c>
      <c r="H7" s="3">
        <f>H5/2</f>
        <v>0.75</v>
      </c>
      <c r="I7" s="3" t="s">
        <v>14</v>
      </c>
      <c r="J7" s="3">
        <f>J5/2</f>
        <v>1.905</v>
      </c>
      <c r="K7" s="5" t="s">
        <v>15</v>
      </c>
    </row>
    <row r="8" spans="1:15" x14ac:dyDescent="0.25">
      <c r="A8" s="3" t="s">
        <v>62</v>
      </c>
      <c r="B8" s="3">
        <v>7.2239999999999999E-2</v>
      </c>
      <c r="C8" s="3" t="s">
        <v>61</v>
      </c>
      <c r="G8" s="5" t="s">
        <v>17</v>
      </c>
      <c r="H8" s="3">
        <v>22</v>
      </c>
      <c r="I8" s="3" t="s">
        <v>14</v>
      </c>
      <c r="J8" s="3">
        <f>H8*2.54</f>
        <v>55.88</v>
      </c>
      <c r="K8" s="5" t="s">
        <v>15</v>
      </c>
    </row>
    <row r="9" spans="1:15" x14ac:dyDescent="0.25">
      <c r="A9" s="3" t="s">
        <v>63</v>
      </c>
      <c r="B9" s="3">
        <v>0.92500000000000004</v>
      </c>
      <c r="C9" s="3" t="s">
        <v>61</v>
      </c>
      <c r="G9" s="5" t="s">
        <v>18</v>
      </c>
      <c r="H9" s="3">
        <f>PI()*H7^2*H8</f>
        <v>38.877209088173693</v>
      </c>
      <c r="I9" s="3" t="s">
        <v>19</v>
      </c>
      <c r="J9" s="3">
        <f>J7^2*PI()*J8</f>
        <v>637.08331346928389</v>
      </c>
      <c r="K9" s="5" t="s">
        <v>20</v>
      </c>
      <c r="O9" s="4"/>
    </row>
    <row r="10" spans="1:15" x14ac:dyDescent="0.25">
      <c r="A10" s="3" t="s">
        <v>64</v>
      </c>
      <c r="B10" s="3">
        <v>119.5</v>
      </c>
      <c r="C10" s="3" t="s">
        <v>65</v>
      </c>
      <c r="G10" s="5" t="s">
        <v>10</v>
      </c>
      <c r="H10" s="3">
        <v>0.83</v>
      </c>
      <c r="O10" s="5"/>
    </row>
    <row r="11" spans="1:15" x14ac:dyDescent="0.25">
      <c r="A11" s="3" t="s">
        <v>66</v>
      </c>
      <c r="B11" s="3">
        <f>1/5.75</f>
        <v>0.17391304347826086</v>
      </c>
      <c r="G11" s="5" t="s">
        <v>142</v>
      </c>
      <c r="H11" s="3">
        <v>0.15</v>
      </c>
    </row>
    <row r="12" spans="1:15" x14ac:dyDescent="0.25">
      <c r="A12" s="38" t="s">
        <v>67</v>
      </c>
      <c r="B12" s="38"/>
      <c r="C12" s="38"/>
    </row>
    <row r="13" spans="1:15" x14ac:dyDescent="0.25">
      <c r="A13" s="3" t="s">
        <v>68</v>
      </c>
      <c r="B13" s="3">
        <f>B5*(1/(18.02))</f>
        <v>4.4016022489969941</v>
      </c>
      <c r="C13" s="3" t="s">
        <v>69</v>
      </c>
    </row>
    <row r="14" spans="1:15" x14ac:dyDescent="0.25">
      <c r="A14" s="3" t="s">
        <v>70</v>
      </c>
      <c r="B14" s="3">
        <f>B13/5.75</f>
        <v>0.76549604330382504</v>
      </c>
      <c r="C14" s="3" t="s">
        <v>69</v>
      </c>
    </row>
    <row r="15" spans="1:15" x14ac:dyDescent="0.25">
      <c r="A15" s="3" t="s">
        <v>71</v>
      </c>
      <c r="B15" s="3">
        <f>B14*16.04</f>
        <v>12.278556534593353</v>
      </c>
      <c r="C15" s="3" t="s">
        <v>72</v>
      </c>
    </row>
    <row r="16" spans="1:15" x14ac:dyDescent="0.25">
      <c r="A16" s="3" t="s">
        <v>73</v>
      </c>
      <c r="B16" s="3">
        <f>B15/B8</f>
        <v>169.96894427731664</v>
      </c>
      <c r="C16" s="3" t="s">
        <v>74</v>
      </c>
    </row>
    <row r="17" spans="1:6" x14ac:dyDescent="0.25">
      <c r="A17" s="3" t="s">
        <v>75</v>
      </c>
      <c r="B17" s="3">
        <f>B14</f>
        <v>0.76549604330382504</v>
      </c>
      <c r="C17" s="3" t="s">
        <v>69</v>
      </c>
    </row>
    <row r="18" spans="1:6" x14ac:dyDescent="0.25">
      <c r="A18" s="3" t="s">
        <v>76</v>
      </c>
      <c r="B18" s="3">
        <f>B17*B10</f>
        <v>91.476777174807097</v>
      </c>
      <c r="C18" s="3" t="s">
        <v>72</v>
      </c>
    </row>
    <row r="19" spans="1:6" x14ac:dyDescent="0.25">
      <c r="A19" s="3" t="s">
        <v>77</v>
      </c>
      <c r="B19" s="3">
        <f>B18*(1/B9)</f>
        <v>98.893813161953602</v>
      </c>
      <c r="C19" s="3" t="s">
        <v>74</v>
      </c>
    </row>
    <row r="20" spans="1:6" x14ac:dyDescent="0.25">
      <c r="A20" s="6" t="s">
        <v>78</v>
      </c>
      <c r="B20" s="6">
        <f>B19/B4</f>
        <v>1.0348600784348501</v>
      </c>
    </row>
    <row r="21" spans="1:6" x14ac:dyDescent="0.25">
      <c r="A21" s="38" t="s">
        <v>79</v>
      </c>
      <c r="B21" s="38"/>
      <c r="C21" s="38"/>
    </row>
    <row r="22" spans="1:6" x14ac:dyDescent="0.25">
      <c r="A22" s="20" t="s">
        <v>80</v>
      </c>
      <c r="B22" s="21">
        <v>26</v>
      </c>
      <c r="C22" s="20" t="s">
        <v>74</v>
      </c>
      <c r="D22" s="3" t="s">
        <v>144</v>
      </c>
      <c r="F22" s="3" t="s">
        <v>145</v>
      </c>
    </row>
    <row r="23" spans="1:6" x14ac:dyDescent="0.25">
      <c r="A23" s="20" t="s">
        <v>81</v>
      </c>
      <c r="B23" s="21">
        <v>228</v>
      </c>
      <c r="C23" s="20" t="s">
        <v>74</v>
      </c>
      <c r="E23" s="3" t="s">
        <v>146</v>
      </c>
      <c r="F23" s="3">
        <f>B5</f>
        <v>79.316872526925835</v>
      </c>
    </row>
    <row r="24" spans="1:6" x14ac:dyDescent="0.25">
      <c r="A24" s="3" t="s">
        <v>82</v>
      </c>
      <c r="B24" s="19">
        <v>18.5</v>
      </c>
      <c r="C24" s="3" t="s">
        <v>74</v>
      </c>
      <c r="D24" s="3">
        <v>18.5</v>
      </c>
      <c r="E24" s="3" t="s">
        <v>147</v>
      </c>
      <c r="F24" s="3">
        <f>D29</f>
        <v>10.763940149625936</v>
      </c>
    </row>
    <row r="25" spans="1:6" x14ac:dyDescent="0.25">
      <c r="A25" s="3" t="s">
        <v>83</v>
      </c>
      <c r="B25" s="6">
        <f>B24/B16</f>
        <v>0.10884341300500114</v>
      </c>
      <c r="D25" s="3">
        <f>B24*B8</f>
        <v>1.3364400000000001</v>
      </c>
      <c r="E25" s="3" t="s">
        <v>148</v>
      </c>
      <c r="F25" s="3">
        <f>D26</f>
        <v>8.3319201995012485E-2</v>
      </c>
    </row>
    <row r="26" spans="1:6" x14ac:dyDescent="0.25">
      <c r="A26" s="3" t="s">
        <v>84</v>
      </c>
      <c r="B26" s="3">
        <f>B25*B14</f>
        <v>8.3319201995012471E-2</v>
      </c>
      <c r="C26" s="3" t="s">
        <v>69</v>
      </c>
      <c r="D26" s="3">
        <f>D25/16.04</f>
        <v>8.3319201995012485E-2</v>
      </c>
      <c r="E26" s="3" t="s">
        <v>149</v>
      </c>
      <c r="F26" s="3">
        <f>F25/B11</f>
        <v>0.47908541147132178</v>
      </c>
    </row>
    <row r="27" spans="1:6" x14ac:dyDescent="0.25">
      <c r="A27" s="3" t="s">
        <v>75</v>
      </c>
      <c r="B27" s="3">
        <f>B26</f>
        <v>8.3319201995012471E-2</v>
      </c>
      <c r="C27" s="3" t="s">
        <v>69</v>
      </c>
      <c r="D27" s="3">
        <f>D26</f>
        <v>8.3319201995012485E-2</v>
      </c>
      <c r="E27" s="3" t="s">
        <v>150</v>
      </c>
      <c r="F27" s="3">
        <f>F26*18.02</f>
        <v>8.6331191147132174</v>
      </c>
    </row>
    <row r="28" spans="1:6" x14ac:dyDescent="0.25">
      <c r="A28" s="3" t="s">
        <v>76</v>
      </c>
      <c r="B28" s="3">
        <f>B27*B10</f>
        <v>9.9566446384039899</v>
      </c>
      <c r="C28" s="3" t="s">
        <v>72</v>
      </c>
      <c r="D28" s="3">
        <f>D27*B10</f>
        <v>9.9566446384039917</v>
      </c>
      <c r="E28" s="3" t="s">
        <v>146</v>
      </c>
      <c r="F28" s="3">
        <f>(F23-F27)</f>
        <v>70.68375341221261</v>
      </c>
    </row>
    <row r="29" spans="1:6" x14ac:dyDescent="0.25">
      <c r="A29" s="3" t="s">
        <v>77</v>
      </c>
      <c r="B29" s="3">
        <f>B28*(1/B9)</f>
        <v>10.763940149625933</v>
      </c>
      <c r="D29" s="3">
        <f>D28/B9</f>
        <v>10.763940149625936</v>
      </c>
      <c r="E29" s="3" t="s">
        <v>10</v>
      </c>
      <c r="F29" s="3">
        <f>F28/B4</f>
        <v>0.73965996720584892</v>
      </c>
    </row>
    <row r="30" spans="1:6" x14ac:dyDescent="0.25">
      <c r="A30" s="6" t="s">
        <v>85</v>
      </c>
      <c r="B30" s="6">
        <f>B29/B4</f>
        <v>0.11263770291947225</v>
      </c>
      <c r="D30" s="3">
        <f>D29/B4</f>
        <v>0.1126377029194723</v>
      </c>
    </row>
  </sheetData>
  <mergeCells count="5">
    <mergeCell ref="A1:C1"/>
    <mergeCell ref="G3:K3"/>
    <mergeCell ref="G4:K4"/>
    <mergeCell ref="A12:C12"/>
    <mergeCell ref="A21:C21"/>
  </mergeCells>
  <pageMargins left="0.7" right="0.7" top="0.75" bottom="0.75" header="0.3" footer="0.3"/>
  <pageSetup paperSize="15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1467-6EC8-439A-921F-A3F4DE95FBC3}">
  <dimension ref="A1:V19"/>
  <sheetViews>
    <sheetView tabSelected="1" workbookViewId="0">
      <selection activeCell="B4" sqref="B4"/>
    </sheetView>
  </sheetViews>
  <sheetFormatPr defaultRowHeight="15" x14ac:dyDescent="0.25"/>
  <cols>
    <col min="1" max="16384" width="9.140625" style="3"/>
  </cols>
  <sheetData>
    <row r="1" spans="1:22" ht="15.75" x14ac:dyDescent="0.25">
      <c r="A1" s="10"/>
      <c r="B1" s="10"/>
      <c r="C1" s="10" t="s">
        <v>25</v>
      </c>
      <c r="D1" s="10"/>
      <c r="E1" s="10" t="s">
        <v>26</v>
      </c>
      <c r="F1" s="11"/>
      <c r="G1" s="11"/>
      <c r="J1" s="41" t="s">
        <v>27</v>
      </c>
      <c r="K1" s="41"/>
      <c r="L1" s="41"/>
      <c r="M1" s="41"/>
      <c r="N1" s="41"/>
      <c r="O1" s="41"/>
    </row>
    <row r="2" spans="1:22" ht="15.75" x14ac:dyDescent="0.25">
      <c r="A2" s="10" t="s">
        <v>28</v>
      </c>
      <c r="B2" s="12">
        <v>2.5</v>
      </c>
      <c r="C2" s="10" t="s">
        <v>29</v>
      </c>
      <c r="D2" s="13">
        <f>B2/100^3*1^2/60</f>
        <v>4.1666666666666669E-8</v>
      </c>
      <c r="E2" s="10" t="s">
        <v>30</v>
      </c>
      <c r="F2" s="14"/>
      <c r="G2" s="13" t="s">
        <v>31</v>
      </c>
      <c r="H2" s="15"/>
      <c r="I2" s="15"/>
      <c r="L2" s="41" t="s">
        <v>32</v>
      </c>
      <c r="M2" s="41"/>
    </row>
    <row r="3" spans="1:22" ht="15.75" x14ac:dyDescent="0.25">
      <c r="A3" s="10" t="s">
        <v>33</v>
      </c>
      <c r="B3" s="10"/>
      <c r="C3" s="10"/>
      <c r="D3" s="15">
        <f>(D2*D6*D7)/(D5*D4)</f>
        <v>2.6929408534787809E-13</v>
      </c>
      <c r="E3" s="10" t="s">
        <v>34</v>
      </c>
      <c r="F3" s="16"/>
      <c r="G3" s="13">
        <f>D3*1013000000000</f>
        <v>0.27279490845740051</v>
      </c>
      <c r="H3" s="15" t="s">
        <v>35</v>
      </c>
      <c r="I3" s="15"/>
      <c r="L3" s="42" t="s">
        <v>36</v>
      </c>
      <c r="M3" s="42"/>
      <c r="N3" s="41" t="s">
        <v>37</v>
      </c>
      <c r="O3" s="41"/>
    </row>
    <row r="4" spans="1:22" ht="15.75" x14ac:dyDescent="0.25">
      <c r="A4" s="10" t="s">
        <v>38</v>
      </c>
      <c r="B4" s="12">
        <v>1.7669999999999999</v>
      </c>
      <c r="C4" s="10" t="s">
        <v>39</v>
      </c>
      <c r="D4" s="13">
        <f>B4*2.54^2/100^2</f>
        <v>1.13999772E-3</v>
      </c>
      <c r="E4" s="10" t="s">
        <v>34</v>
      </c>
      <c r="F4" s="17"/>
      <c r="G4" s="13">
        <f>G3*1000</f>
        <v>272.79490845740048</v>
      </c>
      <c r="H4" s="15" t="s">
        <v>40</v>
      </c>
      <c r="I4" s="15"/>
      <c r="J4" s="3" t="s">
        <v>10</v>
      </c>
      <c r="K4" s="3" t="s">
        <v>0</v>
      </c>
      <c r="L4" s="3" t="s">
        <v>41</v>
      </c>
      <c r="M4" s="3" t="s">
        <v>42</v>
      </c>
      <c r="N4" s="41" t="s">
        <v>43</v>
      </c>
      <c r="O4" s="41"/>
    </row>
    <row r="5" spans="1:22" ht="15.75" x14ac:dyDescent="0.25">
      <c r="A5" s="10" t="s">
        <v>44</v>
      </c>
      <c r="B5" s="18">
        <v>2</v>
      </c>
      <c r="C5" s="10" t="s">
        <v>45</v>
      </c>
      <c r="D5" s="13">
        <f>B5*6894.8</f>
        <v>13789.6</v>
      </c>
      <c r="E5" s="10" t="s">
        <v>46</v>
      </c>
      <c r="F5" s="11"/>
      <c r="G5" s="10"/>
      <c r="H5" s="15"/>
      <c r="I5" s="15"/>
      <c r="J5" s="3">
        <v>1</v>
      </c>
      <c r="K5" s="3">
        <v>1.5</v>
      </c>
      <c r="L5" s="3">
        <f>M5/6894.8</f>
        <v>8.2999999999999989</v>
      </c>
      <c r="M5" s="3">
        <v>57226.84</v>
      </c>
      <c r="N5" s="3">
        <f>K5/100^3*1^2/60</f>
        <v>2.5000000000000002E-8</v>
      </c>
      <c r="O5" s="3">
        <f>(N5*$D$6*$D$7)/($D$3*$D$4*M5)</f>
        <v>0.1445783132530121</v>
      </c>
    </row>
    <row r="6" spans="1:22" ht="15.75" x14ac:dyDescent="0.25">
      <c r="A6" s="10" t="s">
        <v>47</v>
      </c>
      <c r="B6" s="18">
        <v>1</v>
      </c>
      <c r="C6" s="10" t="s">
        <v>48</v>
      </c>
      <c r="D6" s="13">
        <f>B6/1000</f>
        <v>1E-3</v>
      </c>
      <c r="E6" s="10" t="s">
        <v>49</v>
      </c>
      <c r="F6" s="11"/>
      <c r="G6" s="11"/>
      <c r="H6" s="11"/>
      <c r="I6" s="11"/>
      <c r="J6" s="3">
        <f>(K6)/(K6+J14)</f>
        <v>0.5</v>
      </c>
      <c r="K6" s="19">
        <v>0.84499999999999997</v>
      </c>
      <c r="L6" s="3">
        <v>8.5399999999999991</v>
      </c>
      <c r="M6" s="3">
        <f>L6*6894.8</f>
        <v>58881.591999999997</v>
      </c>
      <c r="N6" s="3">
        <f>K6/100^3*1^2/60</f>
        <v>1.4083333333333332E-8</v>
      </c>
      <c r="O6" s="3">
        <f>(N6*$D$6*$D$7)/($D$3*$D$4*M6)</f>
        <v>7.9156908665105385E-2</v>
      </c>
    </row>
    <row r="7" spans="1:22" ht="15.75" x14ac:dyDescent="0.25">
      <c r="A7" s="10" t="s">
        <v>17</v>
      </c>
      <c r="B7" s="18">
        <v>4</v>
      </c>
      <c r="C7" s="10" t="s">
        <v>50</v>
      </c>
      <c r="D7" s="13">
        <f>B7*2.54/100</f>
        <v>0.1016</v>
      </c>
      <c r="E7" s="10" t="s">
        <v>51</v>
      </c>
      <c r="F7" s="11"/>
      <c r="G7" s="11"/>
      <c r="H7" s="11"/>
      <c r="I7" s="11"/>
      <c r="J7" s="3">
        <f>(K7)/(K7+J15)</f>
        <v>0.37174721189591081</v>
      </c>
      <c r="K7" s="3">
        <v>0.5</v>
      </c>
      <c r="L7" s="3">
        <v>7.57</v>
      </c>
      <c r="M7" s="3">
        <f>L7*6894.8</f>
        <v>52193.636000000006</v>
      </c>
      <c r="N7" s="3">
        <f>K7/100^3*1^2/60</f>
        <v>8.3333333333333335E-9</v>
      </c>
      <c r="O7" s="3">
        <f>(N7*$D$6*$D$7)/($D$3*$D$4*M7)</f>
        <v>5.284015852047555E-2</v>
      </c>
    </row>
    <row r="8" spans="1:22" x14ac:dyDescent="0.25">
      <c r="G8" s="19"/>
      <c r="H8" s="19"/>
      <c r="I8" s="19"/>
      <c r="J8" s="3">
        <f>(K8)/(K8+J16)</f>
        <v>0.22831050228310504</v>
      </c>
      <c r="K8" s="3">
        <v>0.25</v>
      </c>
      <c r="L8" s="3">
        <v>6.9</v>
      </c>
      <c r="M8" s="3">
        <v>57227.839999999997</v>
      </c>
      <c r="N8" s="3">
        <f>K8/100^3*1^2/60</f>
        <v>4.1666666666666668E-9</v>
      </c>
      <c r="O8" s="3">
        <f>(N8*$D$6*$D$7)/($D$3*$D$4*M8)</f>
        <v>2.409596448162293E-2</v>
      </c>
    </row>
    <row r="9" spans="1:22" x14ac:dyDescent="0.25">
      <c r="J9" s="3">
        <f>(K9)/(K9+J17)</f>
        <v>0.12886597938144331</v>
      </c>
      <c r="K9" s="3">
        <v>0.25</v>
      </c>
      <c r="L9" s="3">
        <v>9.4</v>
      </c>
      <c r="M9" s="3">
        <f>L9*6894.8</f>
        <v>64811.12</v>
      </c>
      <c r="N9" s="3">
        <f>K9/100^3*1^2/60</f>
        <v>4.1666666666666668E-9</v>
      </c>
      <c r="O9" s="3">
        <f>(N9*$D$6*$D$7)/($D$3*$D$4*M9)</f>
        <v>2.1276595744680851E-2</v>
      </c>
    </row>
    <row r="12" spans="1:22" x14ac:dyDescent="0.25">
      <c r="J12" s="19" t="s">
        <v>52</v>
      </c>
      <c r="K12" s="3" t="s">
        <v>41</v>
      </c>
      <c r="L12" s="3" t="s">
        <v>42</v>
      </c>
      <c r="M12" s="41" t="s">
        <v>43</v>
      </c>
      <c r="N12" s="41"/>
    </row>
    <row r="13" spans="1:22" x14ac:dyDescent="0.25">
      <c r="J13" s="3">
        <v>0</v>
      </c>
      <c r="M13" s="3">
        <f>J13/100^3*1^2/60</f>
        <v>0</v>
      </c>
      <c r="N13" s="3">
        <v>0</v>
      </c>
      <c r="T13" s="3" t="s">
        <v>10</v>
      </c>
      <c r="U13" s="3" t="s">
        <v>53</v>
      </c>
      <c r="V13" s="3" t="s">
        <v>54</v>
      </c>
    </row>
    <row r="14" spans="1:22" ht="15.75" x14ac:dyDescent="0.25">
      <c r="G14" s="19"/>
      <c r="H14" s="19"/>
      <c r="I14" s="19"/>
      <c r="J14" s="3">
        <v>0.84499999999999997</v>
      </c>
      <c r="K14" s="3">
        <v>8.5399999999999991</v>
      </c>
      <c r="L14" s="3">
        <f>K14*6894.8</f>
        <v>58881.591999999997</v>
      </c>
      <c r="M14" s="3">
        <f>J14/100^3*1^2/60</f>
        <v>1.4083333333333332E-8</v>
      </c>
      <c r="N14" s="3">
        <f>(M14*$D$17*$D$7)/($D$3*$D$4*L14)</f>
        <v>8.1531615925058544E-4</v>
      </c>
      <c r="O14" s="11"/>
      <c r="T14" s="3">
        <v>1</v>
      </c>
      <c r="U14" s="3">
        <v>1.0000000000000002</v>
      </c>
      <c r="V14" s="3">
        <v>0</v>
      </c>
    </row>
    <row r="15" spans="1:22" ht="15.75" x14ac:dyDescent="0.25">
      <c r="J15" s="3">
        <v>0.84499999999999997</v>
      </c>
      <c r="K15" s="3">
        <v>7.57</v>
      </c>
      <c r="L15" s="3">
        <f>K15*6894.8</f>
        <v>52193.636000000006</v>
      </c>
      <c r="M15" s="3">
        <f>J15/100^3*1^2/60</f>
        <v>1.4083333333333332E-8</v>
      </c>
      <c r="N15" s="3">
        <f>(M15*$D$6*$D$7)/($D$3*$D$4*L15)</f>
        <v>8.9299867899603674E-2</v>
      </c>
      <c r="O15" s="11"/>
      <c r="T15" s="3">
        <v>0.5</v>
      </c>
      <c r="U15" s="3">
        <v>0.54750195160031223</v>
      </c>
      <c r="V15" s="3">
        <v>5.639270101483216E-3</v>
      </c>
    </row>
    <row r="16" spans="1:22" ht="15.75" x14ac:dyDescent="0.25">
      <c r="J16" s="3">
        <v>0.84499999999999997</v>
      </c>
      <c r="K16" s="3">
        <v>6.9</v>
      </c>
      <c r="L16" s="3">
        <v>57227.839999999997</v>
      </c>
      <c r="M16" s="3">
        <f>J16/100^3*1^2/60</f>
        <v>1.4083333333333332E-8</v>
      </c>
      <c r="N16" s="3">
        <f>(M16*$D$6*$D$7)/($D$3*$D$4*L16)</f>
        <v>8.14443599478855E-2</v>
      </c>
      <c r="O16" s="11"/>
      <c r="P16" s="11"/>
      <c r="Q16" s="11"/>
      <c r="T16" s="3">
        <v>0.37174721189591081</v>
      </c>
      <c r="U16" s="3">
        <v>0.36547776309995589</v>
      </c>
      <c r="V16" s="3">
        <v>0.6176574196389254</v>
      </c>
    </row>
    <row r="17" spans="3:22" ht="15.75" x14ac:dyDescent="0.25">
      <c r="C17" s="3">
        <v>1.03E-2</v>
      </c>
      <c r="D17" s="3">
        <f>C17/1000</f>
        <v>1.03E-5</v>
      </c>
      <c r="J17" s="3">
        <v>1.69</v>
      </c>
      <c r="K17" s="3">
        <v>9.4</v>
      </c>
      <c r="L17" s="3">
        <f>K17*6894.8</f>
        <v>64811.12</v>
      </c>
      <c r="M17" s="3">
        <f>J17/100^3*1^2/60</f>
        <v>2.8166666666666664E-8</v>
      </c>
      <c r="N17" s="3">
        <f>(M17*$D$6*$D$7)/($D$3*$D$4*L17)</f>
        <v>0.14382978723404255</v>
      </c>
      <c r="O17" s="11"/>
      <c r="P17" s="14"/>
      <c r="Q17" s="11"/>
      <c r="T17" s="3">
        <v>0.22831050228310504</v>
      </c>
      <c r="U17" s="3">
        <v>0.16666375433122527</v>
      </c>
      <c r="V17" s="3">
        <v>0.56332348963954137</v>
      </c>
    </row>
    <row r="18" spans="3:22" ht="15.75" x14ac:dyDescent="0.25">
      <c r="P18" s="16"/>
      <c r="Q18" s="14"/>
      <c r="T18" s="3">
        <v>0.12886597938144331</v>
      </c>
      <c r="U18" s="3">
        <v>0.14716312056737588</v>
      </c>
      <c r="V18" s="3">
        <v>0.99482269503546072</v>
      </c>
    </row>
    <row r="19" spans="3:22" ht="15.75" x14ac:dyDescent="0.25">
      <c r="P19" s="17"/>
      <c r="Q19" s="11"/>
    </row>
  </sheetData>
  <mergeCells count="6">
    <mergeCell ref="M12:N12"/>
    <mergeCell ref="J1:O1"/>
    <mergeCell ref="L2:M2"/>
    <mergeCell ref="L3:M3"/>
    <mergeCell ref="N3:O3"/>
    <mergeCell ref="N4:O4"/>
  </mergeCells>
  <pageMargins left="0.7" right="0.7" top="0.75" bottom="0.75" header="0.3" footer="0.3"/>
  <pageSetup paperSize="1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Core Parameters</vt:lpstr>
      <vt:lpstr>Calculation</vt:lpstr>
      <vt:lpstr>Sh</vt:lpstr>
      <vt:lpstr>Perm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2019-09-12T20:21:17Z</dcterms:modified>
</cp:coreProperties>
</file>