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42ED891E-9A2A-4F31-8BAA-FA91E90AFDEC}" xr6:coauthVersionLast="36" xr6:coauthVersionMax="43" xr10:uidLastSave="{00000000-0000-0000-0000-000000000000}"/>
  <bookViews>
    <workbookView xWindow="-14325" yWindow="5850" windowWidth="28800" windowHeight="15435" activeTab="1" xr2:uid="{00000000-000D-0000-FFFF-FFFF00000000}"/>
  </bookViews>
  <sheets>
    <sheet name="Core Parameters" sheetId="5" r:id="rId1"/>
    <sheet name="Calculation" sheetId="1" r:id="rId2"/>
    <sheet name="Raw Data" sheetId="2" r:id="rId3"/>
    <sheet name="Sh" sheetId="4" r:id="rId4"/>
    <sheet name="Perm" sheetId="3" r:id="rId5"/>
  </sheets>
  <externalReferences>
    <externalReference r:id="rId6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I11" i="1"/>
  <c r="L11" i="1"/>
  <c r="J11" i="1"/>
  <c r="I10" i="1"/>
  <c r="J10" i="1"/>
  <c r="J9" i="1"/>
  <c r="I9" i="1"/>
  <c r="J8" i="1"/>
  <c r="I8" i="1"/>
  <c r="N5" i="1" l="1"/>
  <c r="A19" i="1" s="1"/>
  <c r="B19" i="1" s="1"/>
  <c r="N6" i="1"/>
  <c r="N4" i="1"/>
  <c r="A18" i="1" s="1"/>
  <c r="B18" i="1" s="1"/>
  <c r="C38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39" i="1"/>
  <c r="B38" i="1"/>
  <c r="F20" i="1"/>
  <c r="H18" i="1"/>
  <c r="X5" i="1"/>
  <c r="X6" i="1"/>
  <c r="Y6" i="1" s="1"/>
  <c r="X9" i="1"/>
  <c r="Y9" i="1" s="1"/>
  <c r="X12" i="1"/>
  <c r="X4" i="1"/>
  <c r="Y4" i="1" s="1"/>
  <c r="Y5" i="1"/>
  <c r="Y12" i="1"/>
  <c r="E19" i="1"/>
  <c r="E20" i="1"/>
  <c r="E23" i="1"/>
  <c r="E26" i="1"/>
  <c r="E18" i="1"/>
  <c r="AD5" i="1"/>
  <c r="AE5" i="1" s="1"/>
  <c r="H19" i="1" s="1"/>
  <c r="AD6" i="1"/>
  <c r="AE6" i="1" s="1"/>
  <c r="H20" i="1" s="1"/>
  <c r="AD4" i="1"/>
  <c r="AE4" i="1" s="1"/>
  <c r="AB5" i="1"/>
  <c r="AB6" i="1"/>
  <c r="AC6" i="1" s="1"/>
  <c r="AB4" i="1"/>
  <c r="AC4" i="1" s="1"/>
  <c r="F18" i="1" s="1"/>
  <c r="Z5" i="1"/>
  <c r="Z6" i="1"/>
  <c r="Z4" i="1"/>
  <c r="AC5" i="1"/>
  <c r="F19" i="1" s="1"/>
  <c r="C18" i="1"/>
  <c r="A20" i="1"/>
  <c r="B20" i="1" s="1"/>
  <c r="G19" i="1" l="1"/>
  <c r="G18" i="1"/>
  <c r="G26" i="1"/>
  <c r="G23" i="1"/>
  <c r="G20" i="1"/>
  <c r="S5" i="1" l="1"/>
  <c r="S6" i="1"/>
  <c r="R5" i="1"/>
  <c r="R6" i="1"/>
  <c r="Q5" i="1"/>
  <c r="Q6" i="1"/>
  <c r="E5" i="1"/>
  <c r="E6" i="1"/>
  <c r="P5" i="1"/>
  <c r="P6" i="1"/>
  <c r="O5" i="1"/>
  <c r="O6" i="1"/>
  <c r="V6" i="1" l="1"/>
  <c r="T6" i="1"/>
  <c r="V5" i="1"/>
  <c r="T5" i="1"/>
  <c r="AA5" i="1"/>
  <c r="D19" i="1" s="1"/>
  <c r="AA6" i="1"/>
  <c r="D20" i="1" s="1"/>
  <c r="U5" i="1"/>
  <c r="W5" i="1" s="1"/>
  <c r="K8" i="5"/>
  <c r="K7" i="5"/>
  <c r="U6" i="1" l="1"/>
  <c r="W6" i="1" s="1"/>
  <c r="N7" i="5"/>
  <c r="R12" i="1" l="1"/>
  <c r="N6" i="5"/>
  <c r="F2" i="5"/>
  <c r="F3" i="5" s="1"/>
  <c r="F5" i="5"/>
  <c r="F4" i="5"/>
  <c r="D4" i="5"/>
  <c r="D2" i="5"/>
  <c r="D3" i="5" s="1"/>
  <c r="D7" i="5" s="1"/>
  <c r="K6" i="5"/>
  <c r="I4" i="5"/>
  <c r="D5" i="5"/>
  <c r="B3" i="5"/>
  <c r="B7" i="5" s="1"/>
  <c r="F7" i="5" l="1"/>
  <c r="F6" i="5"/>
  <c r="B6" i="5"/>
  <c r="D6" i="5"/>
  <c r="N8" i="5" l="1"/>
  <c r="I20" i="5" l="1"/>
  <c r="J20" i="5"/>
  <c r="K8" i="1"/>
  <c r="K9" i="1"/>
  <c r="K10" i="1"/>
  <c r="K11" i="1"/>
  <c r="K12" i="1"/>
  <c r="K7" i="1"/>
  <c r="K4" i="1"/>
  <c r="B8" i="5" l="1"/>
  <c r="R7" i="1"/>
  <c r="S7" i="1"/>
  <c r="R8" i="1"/>
  <c r="S8" i="1"/>
  <c r="R9" i="1"/>
  <c r="S9" i="1"/>
  <c r="R10" i="1"/>
  <c r="S10" i="1"/>
  <c r="R11" i="1"/>
  <c r="S11" i="1"/>
  <c r="S12" i="1"/>
  <c r="R4" i="1"/>
  <c r="S4" i="1"/>
  <c r="Q7" i="1"/>
  <c r="Q8" i="1"/>
  <c r="Q9" i="1"/>
  <c r="Q10" i="1"/>
  <c r="Q11" i="1"/>
  <c r="Q12" i="1"/>
  <c r="Q4" i="1"/>
  <c r="P7" i="1"/>
  <c r="P8" i="1"/>
  <c r="P9" i="1"/>
  <c r="P10" i="1"/>
  <c r="P11" i="1"/>
  <c r="P12" i="1"/>
  <c r="P4" i="1"/>
  <c r="O7" i="1"/>
  <c r="O8" i="1"/>
  <c r="X8" i="1" s="1"/>
  <c r="Y8" i="1" s="1"/>
  <c r="G22" i="1" s="1"/>
  <c r="O9" i="1"/>
  <c r="O10" i="1"/>
  <c r="X10" i="1" s="1"/>
  <c r="Y10" i="1" s="1"/>
  <c r="G24" i="1" s="1"/>
  <c r="O11" i="1"/>
  <c r="X11" i="1" s="1"/>
  <c r="Y11" i="1" s="1"/>
  <c r="G25" i="1" s="1"/>
  <c r="O12" i="1"/>
  <c r="O4" i="1"/>
  <c r="B23" i="4"/>
  <c r="B10" i="4"/>
  <c r="J7" i="4"/>
  <c r="H6" i="4"/>
  <c r="H8" i="4" s="1"/>
  <c r="J5" i="4"/>
  <c r="J6" i="4" s="1"/>
  <c r="B4" i="4"/>
  <c r="B5" i="4" s="1"/>
  <c r="B12" i="4" s="1"/>
  <c r="B13" i="4" s="1"/>
  <c r="B3" i="4"/>
  <c r="B2" i="4"/>
  <c r="M17" i="3"/>
  <c r="L17" i="3"/>
  <c r="D17" i="3"/>
  <c r="M16" i="3"/>
  <c r="M15" i="3"/>
  <c r="L15" i="3"/>
  <c r="M14" i="3"/>
  <c r="L14" i="3"/>
  <c r="M13" i="3"/>
  <c r="N9" i="3"/>
  <c r="M9" i="3"/>
  <c r="J9" i="3"/>
  <c r="N8" i="3"/>
  <c r="J8" i="3"/>
  <c r="N7" i="3"/>
  <c r="M7" i="3"/>
  <c r="J7" i="3"/>
  <c r="D7" i="3"/>
  <c r="N6" i="3"/>
  <c r="M6" i="3"/>
  <c r="J6" i="3"/>
  <c r="D6" i="3"/>
  <c r="N5" i="3"/>
  <c r="L5" i="3"/>
  <c r="D5" i="3"/>
  <c r="D4" i="3"/>
  <c r="D2" i="3"/>
  <c r="AD12" i="1" l="1"/>
  <c r="AE12" i="1" s="1"/>
  <c r="H26" i="1" s="1"/>
  <c r="Z12" i="1"/>
  <c r="AA12" i="1" s="1"/>
  <c r="D26" i="1" s="1"/>
  <c r="AB12" i="1"/>
  <c r="AC12" i="1" s="1"/>
  <c r="F26" i="1" s="1"/>
  <c r="AB10" i="1"/>
  <c r="AC10" i="1" s="1"/>
  <c r="F24" i="1" s="1"/>
  <c r="AD10" i="1"/>
  <c r="AE10" i="1" s="1"/>
  <c r="H24" i="1" s="1"/>
  <c r="Z10" i="1"/>
  <c r="AA10" i="1" s="1"/>
  <c r="D24" i="1" s="1"/>
  <c r="AB11" i="1"/>
  <c r="AC11" i="1" s="1"/>
  <c r="F25" i="1" s="1"/>
  <c r="AD11" i="1"/>
  <c r="AE11" i="1" s="1"/>
  <c r="H25" i="1" s="1"/>
  <c r="Z11" i="1"/>
  <c r="AA11" i="1" s="1"/>
  <c r="D25" i="1" s="1"/>
  <c r="Z9" i="1"/>
  <c r="AA9" i="1" s="1"/>
  <c r="D23" i="1" s="1"/>
  <c r="AD9" i="1"/>
  <c r="AE9" i="1" s="1"/>
  <c r="H23" i="1" s="1"/>
  <c r="AB9" i="1"/>
  <c r="AC9" i="1" s="1"/>
  <c r="F23" i="1" s="1"/>
  <c r="AD8" i="1"/>
  <c r="AE8" i="1" s="1"/>
  <c r="H22" i="1" s="1"/>
  <c r="AB8" i="1"/>
  <c r="AC8" i="1" s="1"/>
  <c r="F22" i="1" s="1"/>
  <c r="Z8" i="1"/>
  <c r="AA8" i="1" s="1"/>
  <c r="D22" i="1" s="1"/>
  <c r="AB7" i="1"/>
  <c r="AC7" i="1" s="1"/>
  <c r="F21" i="1" s="1"/>
  <c r="Z7" i="1"/>
  <c r="AA7" i="1" s="1"/>
  <c r="D21" i="1" s="1"/>
  <c r="X7" i="1"/>
  <c r="Y7" i="1" s="1"/>
  <c r="G21" i="1" s="1"/>
  <c r="AD7" i="1"/>
  <c r="AE7" i="1" s="1"/>
  <c r="H21" i="1" s="1"/>
  <c r="V9" i="1"/>
  <c r="W9" i="1" s="1"/>
  <c r="T9" i="1"/>
  <c r="U9" i="1" s="1"/>
  <c r="T7" i="1"/>
  <c r="U7" i="1" s="1"/>
  <c r="C21" i="1" s="1"/>
  <c r="V7" i="1"/>
  <c r="W7" i="1" s="1"/>
  <c r="E21" i="1" s="1"/>
  <c r="AA4" i="1"/>
  <c r="D18" i="1" s="1"/>
  <c r="T8" i="1"/>
  <c r="U8" i="1" s="1"/>
  <c r="V8" i="1"/>
  <c r="W8" i="1" s="1"/>
  <c r="E22" i="1" s="1"/>
  <c r="V12" i="1"/>
  <c r="W12" i="1" s="1"/>
  <c r="T12" i="1"/>
  <c r="U12" i="1" s="1"/>
  <c r="T10" i="1"/>
  <c r="U10" i="1" s="1"/>
  <c r="V10" i="1"/>
  <c r="W10" i="1" s="1"/>
  <c r="E24" i="1" s="1"/>
  <c r="V4" i="1"/>
  <c r="W4" i="1" s="1"/>
  <c r="T4" i="1"/>
  <c r="V11" i="1"/>
  <c r="W11" i="1" s="1"/>
  <c r="E25" i="1" s="1"/>
  <c r="T11" i="1"/>
  <c r="U11" i="1" s="1"/>
  <c r="U4" i="1"/>
  <c r="B9" i="5"/>
  <c r="D9" i="5"/>
  <c r="F9" i="5" s="1"/>
  <c r="J8" i="4"/>
  <c r="B16" i="4"/>
  <c r="B17" i="4" s="1"/>
  <c r="B18" i="4" s="1"/>
  <c r="B19" i="4" s="1"/>
  <c r="B14" i="4"/>
  <c r="B15" i="4" s="1"/>
  <c r="B24" i="4" s="1"/>
  <c r="B25" i="4" s="1"/>
  <c r="B26" i="4" s="1"/>
  <c r="B27" i="4" s="1"/>
  <c r="B28" i="4" s="1"/>
  <c r="B29" i="4" s="1"/>
  <c r="D3" i="3"/>
  <c r="N17" i="3" s="1"/>
  <c r="O9" i="3"/>
  <c r="C20" i="1" l="1"/>
  <c r="C19" i="1"/>
  <c r="C26" i="1"/>
  <c r="C25" i="1"/>
  <c r="C23" i="1"/>
  <c r="C22" i="1"/>
  <c r="C24" i="1"/>
  <c r="O7" i="3"/>
  <c r="O6" i="3"/>
  <c r="G3" i="3"/>
  <c r="G4" i="3" s="1"/>
  <c r="O8" i="3"/>
  <c r="N14" i="3"/>
  <c r="N15" i="3"/>
  <c r="N16" i="3"/>
  <c r="O5" i="3"/>
  <c r="L7" i="1" l="1"/>
  <c r="L8" i="1"/>
  <c r="L9" i="1"/>
  <c r="L10" i="1"/>
  <c r="L12" i="1"/>
  <c r="L4" i="1"/>
  <c r="E7" i="1"/>
  <c r="E8" i="1"/>
  <c r="E9" i="1"/>
  <c r="E10" i="1"/>
  <c r="E11" i="1"/>
  <c r="E12" i="1"/>
  <c r="E4" i="1"/>
  <c r="L13" i="1" l="1"/>
  <c r="M22" i="1" s="1"/>
  <c r="N22" i="1" s="1"/>
  <c r="M4" i="1"/>
  <c r="M7" i="1" s="1"/>
  <c r="M8" i="1" l="1"/>
  <c r="N8" i="1" s="1"/>
  <c r="A22" i="1" s="1"/>
  <c r="B22" i="1" s="1"/>
  <c r="N7" i="1"/>
  <c r="A21" i="1" s="1"/>
  <c r="B21" i="1" s="1"/>
  <c r="M9" i="1" l="1"/>
  <c r="N9" i="1" s="1"/>
  <c r="A23" i="1" s="1"/>
  <c r="B23" i="1" s="1"/>
  <c r="M10" i="1" l="1"/>
  <c r="N10" i="1" s="1"/>
  <c r="A24" i="1" s="1"/>
  <c r="B24" i="1" s="1"/>
  <c r="M11" i="1" l="1"/>
  <c r="N11" i="1" s="1"/>
  <c r="A25" i="1" s="1"/>
  <c r="B25" i="1" s="1"/>
  <c r="M12" i="1" l="1"/>
  <c r="N12" i="1" s="1"/>
  <c r="A26" i="1" s="1"/>
  <c r="B26" i="1" s="1"/>
  <c r="B43" i="1" l="1"/>
  <c r="B51" i="1"/>
  <c r="B53" i="1"/>
  <c r="B54" i="1"/>
  <c r="B47" i="1"/>
  <c r="B44" i="1"/>
  <c r="B52" i="1"/>
  <c r="B45" i="1"/>
  <c r="B46" i="1"/>
  <c r="D46" i="1" s="1"/>
  <c r="E46" i="1" s="1"/>
  <c r="B39" i="1"/>
  <c r="B55" i="1"/>
  <c r="B50" i="1"/>
  <c r="B40" i="1"/>
  <c r="B48" i="1"/>
  <c r="B56" i="1"/>
  <c r="D56" i="1" s="1"/>
  <c r="E56" i="1" s="1"/>
  <c r="B41" i="1"/>
  <c r="B49" i="1"/>
  <c r="B57" i="1"/>
  <c r="D57" i="1" s="1"/>
  <c r="E57" i="1" s="1"/>
  <c r="B42" i="1"/>
  <c r="B58" i="1"/>
  <c r="D53" i="1" l="1"/>
  <c r="E53" i="1" s="1"/>
  <c r="D49" i="1"/>
  <c r="E49" i="1" s="1"/>
  <c r="D42" i="1"/>
  <c r="E42" i="1" s="1"/>
  <c r="D48" i="1"/>
  <c r="E48" i="1" s="1"/>
  <c r="D51" i="1"/>
  <c r="E51" i="1" s="1"/>
  <c r="D45" i="1"/>
  <c r="E45" i="1" s="1"/>
  <c r="D50" i="1"/>
  <c r="E50" i="1" s="1"/>
  <c r="D52" i="1"/>
  <c r="E52" i="1" s="1"/>
  <c r="D41" i="1"/>
  <c r="E41" i="1" s="1"/>
  <c r="D43" i="1"/>
  <c r="E43" i="1" s="1"/>
  <c r="D44" i="1"/>
  <c r="E44" i="1" s="1"/>
  <c r="D40" i="1"/>
  <c r="E40" i="1" s="1"/>
  <c r="E38" i="1"/>
  <c r="D47" i="1"/>
  <c r="E47" i="1" s="1"/>
  <c r="D58" i="1"/>
  <c r="E58" i="1" s="1"/>
  <c r="D55" i="1"/>
  <c r="E55" i="1" s="1"/>
  <c r="D39" i="1"/>
  <c r="E39" i="1" s="1"/>
  <c r="D54" i="1"/>
  <c r="E54" i="1" s="1"/>
</calcChain>
</file>

<file path=xl/sharedStrings.xml><?xml version="1.0" encoding="utf-8"?>
<sst xmlns="http://schemas.openxmlformats.org/spreadsheetml/2006/main" count="236" uniqueCount="141">
  <si>
    <t>Qw</t>
  </si>
  <si>
    <t>Qg (sccm)</t>
  </si>
  <si>
    <t>Qg (ml/min)</t>
  </si>
  <si>
    <t>Flow rate</t>
  </si>
  <si>
    <t>fw_actual</t>
  </si>
  <si>
    <t>fw goal</t>
  </si>
  <si>
    <t>P (psi)</t>
  </si>
  <si>
    <t>dP (psi)</t>
  </si>
  <si>
    <t>effluent (g)</t>
  </si>
  <si>
    <t>total in (g)</t>
  </si>
  <si>
    <t>Saturation</t>
  </si>
  <si>
    <t>Sw</t>
  </si>
  <si>
    <t>Parameters</t>
  </si>
  <si>
    <t>Core properties</t>
  </si>
  <si>
    <t>d</t>
  </si>
  <si>
    <t>inch</t>
  </si>
  <si>
    <t>cm</t>
  </si>
  <si>
    <t>r</t>
  </si>
  <si>
    <t>L</t>
  </si>
  <si>
    <t>Volume</t>
  </si>
  <si>
    <t>inch^3</t>
  </si>
  <si>
    <t>cc</t>
  </si>
  <si>
    <t>in-out (g)</t>
  </si>
  <si>
    <t>Experimental Conditions</t>
  </si>
  <si>
    <t>Porosity</t>
  </si>
  <si>
    <t>Pore Volume</t>
  </si>
  <si>
    <t>lab units</t>
  </si>
  <si>
    <t>SI</t>
  </si>
  <si>
    <t>q=ka/u*deltap/L</t>
  </si>
  <si>
    <t>q</t>
  </si>
  <si>
    <t>ml/min</t>
  </si>
  <si>
    <r>
      <t>m</t>
    </r>
    <r>
      <rPr>
        <sz val="12"/>
        <color rgb="FF000000"/>
        <rFont val="Calibri Light"/>
        <family val="2"/>
        <scheme val="major"/>
      </rPr>
      <t>3/s</t>
    </r>
  </si>
  <si>
    <t>Permeability</t>
  </si>
  <si>
    <t>Data</t>
  </si>
  <si>
    <t>k</t>
  </si>
  <si>
    <r>
      <t>m</t>
    </r>
    <r>
      <rPr>
        <sz val="12"/>
        <color rgb="FF000000"/>
        <rFont val="Calibri Light"/>
        <family val="2"/>
        <scheme val="major"/>
      </rPr>
      <t>2</t>
    </r>
  </si>
  <si>
    <t>Darcy</t>
  </si>
  <si>
    <t>ΔP (psi)</t>
  </si>
  <si>
    <t>Interpretation</t>
  </si>
  <si>
    <t>A</t>
  </si>
  <si>
    <r>
      <t>in</t>
    </r>
    <r>
      <rPr>
        <sz val="12"/>
        <color rgb="FF000000"/>
        <rFont val="Calibri Light"/>
        <family val="2"/>
        <scheme val="major"/>
      </rPr>
      <t>2</t>
    </r>
  </si>
  <si>
    <t>md</t>
  </si>
  <si>
    <t>dp</t>
  </si>
  <si>
    <t>Pressure (psi)</t>
  </si>
  <si>
    <t>Solve for Kri</t>
  </si>
  <si>
    <t>dP</t>
  </si>
  <si>
    <t>psi</t>
  </si>
  <si>
    <t>Pa</t>
  </si>
  <si>
    <t>mu</t>
  </si>
  <si>
    <t>cp</t>
  </si>
  <si>
    <t>Pa-s</t>
  </si>
  <si>
    <t>in</t>
  </si>
  <si>
    <t>m</t>
  </si>
  <si>
    <t>Qg</t>
  </si>
  <si>
    <t>Krw</t>
  </si>
  <si>
    <t>Krg</t>
  </si>
  <si>
    <t>Methane Consumed</t>
  </si>
  <si>
    <t>Volume Total</t>
  </si>
  <si>
    <t>Volume Sand</t>
  </si>
  <si>
    <t>Volume Pore</t>
  </si>
  <si>
    <t>Volume Water</t>
  </si>
  <si>
    <t>Density of h20</t>
  </si>
  <si>
    <t>g/cc</t>
  </si>
  <si>
    <t>Density of methane</t>
  </si>
  <si>
    <t>Density of hydrate</t>
  </si>
  <si>
    <t>mm of hydrate</t>
  </si>
  <si>
    <t>g/mol</t>
  </si>
  <si>
    <t>mol methane/mole h2o</t>
  </si>
  <si>
    <t>Theoretical</t>
  </si>
  <si>
    <t>Initial mol of h2o present</t>
  </si>
  <si>
    <t>mol</t>
  </si>
  <si>
    <t>methane needed for complete conversion</t>
  </si>
  <si>
    <t>mass CH4 needed</t>
  </si>
  <si>
    <t>g</t>
  </si>
  <si>
    <t>methane volume needed</t>
  </si>
  <si>
    <t>ml</t>
  </si>
  <si>
    <t>mol of hydrate</t>
  </si>
  <si>
    <t>mass of hydrate</t>
  </si>
  <si>
    <t>volume of hydrate</t>
  </si>
  <si>
    <t>Theoretical hydrate saturation</t>
  </si>
  <si>
    <t>Expirimental</t>
  </si>
  <si>
    <t>Initial gas in pump</t>
  </si>
  <si>
    <t>Final gas in pump</t>
  </si>
  <si>
    <t>volume CH4 consumed</t>
  </si>
  <si>
    <t>conversion rate</t>
  </si>
  <si>
    <t>mol of methane</t>
  </si>
  <si>
    <t>Hydrate saturation</t>
  </si>
  <si>
    <t>Qw (m^3/s)</t>
  </si>
  <si>
    <t>Qg (m^3/s)</t>
  </si>
  <si>
    <t>L1 (tap to tap)</t>
  </si>
  <si>
    <t>k (m^2)</t>
  </si>
  <si>
    <t>Area</t>
  </si>
  <si>
    <t>inch^2</t>
  </si>
  <si>
    <t>m^2</t>
  </si>
  <si>
    <t>m^3</t>
  </si>
  <si>
    <t>(pa-s)</t>
  </si>
  <si>
    <t>k (mD) (water)</t>
  </si>
  <si>
    <t xml:space="preserve"> Perm Calculations</t>
  </si>
  <si>
    <t>Si Conversion</t>
  </si>
  <si>
    <t xml:space="preserve"> dP 1 (Pa)</t>
  </si>
  <si>
    <t xml:space="preserve"> dP 2 (Pa)</t>
  </si>
  <si>
    <t xml:space="preserve"> dP 3 (Pa)</t>
  </si>
  <si>
    <t>krw</t>
  </si>
  <si>
    <t>krg</t>
  </si>
  <si>
    <t>time (min)</t>
  </si>
  <si>
    <t>total (g)</t>
  </si>
  <si>
    <t>fw</t>
  </si>
  <si>
    <t>cm^3</t>
  </si>
  <si>
    <t>T (°F)</t>
  </si>
  <si>
    <r>
      <t>T (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C) </t>
    </r>
  </si>
  <si>
    <t>viscosity: water</t>
  </si>
  <si>
    <t>viscosity: gas</t>
  </si>
  <si>
    <t>n/a</t>
  </si>
  <si>
    <t>in^3</t>
  </si>
  <si>
    <t>Dry Weight</t>
  </si>
  <si>
    <t>Saturated weight</t>
  </si>
  <si>
    <t>Residual Weight</t>
  </si>
  <si>
    <t>Grain Density</t>
  </si>
  <si>
    <t>Saturations: BSS02</t>
  </si>
  <si>
    <t>Saturations: BSS01</t>
  </si>
  <si>
    <t xml:space="preserve">Residual Volume </t>
  </si>
  <si>
    <t>PV</t>
  </si>
  <si>
    <t>cm^2</t>
  </si>
  <si>
    <t>k (mD) (gas)</t>
  </si>
  <si>
    <t>BC Model</t>
  </si>
  <si>
    <t>Avergage Porosity</t>
  </si>
  <si>
    <t>Average PV</t>
  </si>
  <si>
    <t>fg</t>
  </si>
  <si>
    <t>Srw</t>
  </si>
  <si>
    <t>Water Perm 1</t>
  </si>
  <si>
    <t>Water Perm 2</t>
  </si>
  <si>
    <t>Water Perm 3</t>
  </si>
  <si>
    <t>Gas Perm 1</t>
  </si>
  <si>
    <t>Rel Perm 1</t>
  </si>
  <si>
    <t>Sn</t>
  </si>
  <si>
    <t>Rel Perm 2</t>
  </si>
  <si>
    <t>Rel Perm 3</t>
  </si>
  <si>
    <t>Gas Perm 2</t>
  </si>
  <si>
    <t>Gas Perm 3</t>
  </si>
  <si>
    <t>Saturations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</si>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</sst>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rgb="FF000000"/>
      <name val="Calibri Light"/>
      <family val="2"/>
      <scheme val="maj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7" fillId="4" borderId="1" applyNumberFormat="0" applyAlignment="0" applyProtection="0"/>
  </cellStyleXfs>
  <cellXfs count="44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/>
    <xf numFmtId="10" fontId="0" fillId="0" borderId="0" xfId="0" applyNumberFormat="1"/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0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165" fontId="0" fillId="0" borderId="0" xfId="0" applyNumberFormat="1"/>
    <xf numFmtId="166" fontId="0" fillId="0" borderId="0" xfId="0" applyNumberFormat="1"/>
    <xf numFmtId="11" fontId="0" fillId="0" borderId="0" xfId="0" applyNumberFormat="1"/>
    <xf numFmtId="167" fontId="0" fillId="0" borderId="0" xfId="0" applyNumberFormat="1"/>
    <xf numFmtId="0" fontId="1" fillId="0" borderId="0" xfId="0" applyFont="1" applyAlignment="1"/>
    <xf numFmtId="0" fontId="1" fillId="10" borderId="0" xfId="0" applyFont="1" applyFill="1"/>
    <xf numFmtId="0" fontId="1" fillId="11" borderId="0" xfId="0" applyFont="1" applyFill="1"/>
    <xf numFmtId="0" fontId="7" fillId="4" borderId="1" xfId="1"/>
    <xf numFmtId="0" fontId="1" fillId="13" borderId="0" xfId="0" applyFont="1" applyFill="1"/>
    <xf numFmtId="0" fontId="0" fillId="15" borderId="0" xfId="0" applyFill="1"/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Calculation!$N$4:$N$12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0.88320693391115956</c:v>
                </c:pt>
                <c:pt idx="4">
                  <c:v>0.86478873239436604</c:v>
                </c:pt>
                <c:pt idx="5">
                  <c:v>0.76186348862405184</c:v>
                </c:pt>
                <c:pt idx="6">
                  <c:v>0.73694474539544996</c:v>
                </c:pt>
                <c:pt idx="7">
                  <c:v>0.67735644637053605</c:v>
                </c:pt>
                <c:pt idx="8">
                  <c:v>0.56901408450704749</c:v>
                </c:pt>
              </c:numCache>
            </c:numRef>
          </c:xVal>
          <c:yVal>
            <c:numRef>
              <c:f>Calculation!$C$18:$C$26</c:f>
              <c:numCache>
                <c:formatCode>0.00</c:formatCode>
                <c:ptCount val="9"/>
                <c:pt idx="0">
                  <c:v>1</c:v>
                </c:pt>
                <c:pt idx="1">
                  <c:v>1.0176991150442478</c:v>
                </c:pt>
                <c:pt idx="2">
                  <c:v>1.0207100591715978</c:v>
                </c:pt>
                <c:pt idx="3">
                  <c:v>0.67647058823529427</c:v>
                </c:pt>
                <c:pt idx="4">
                  <c:v>0.61424332344213639</c:v>
                </c:pt>
                <c:pt idx="5">
                  <c:v>0.38851351351351354</c:v>
                </c:pt>
                <c:pt idx="6">
                  <c:v>0.27380952380952378</c:v>
                </c:pt>
                <c:pt idx="7">
                  <c:v>4.2592592592592585E-2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BB-4B39-9C7C-3E7E990E6D38}"/>
            </c:ext>
          </c:extLst>
        </c:ser>
        <c:ser>
          <c:idx val="1"/>
          <c:order val="1"/>
          <c:tx>
            <c:v>krg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Calculation!$N$4:$N$12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0.88320693391115956</c:v>
                </c:pt>
                <c:pt idx="4">
                  <c:v>0.86478873239436604</c:v>
                </c:pt>
                <c:pt idx="5">
                  <c:v>0.76186348862405184</c:v>
                </c:pt>
                <c:pt idx="6">
                  <c:v>0.73694474539544996</c:v>
                </c:pt>
                <c:pt idx="7">
                  <c:v>0.67735644637053605</c:v>
                </c:pt>
                <c:pt idx="8">
                  <c:v>0.56901408450704749</c:v>
                </c:pt>
              </c:numCache>
            </c:numRef>
          </c:xVal>
          <c:yVal>
            <c:numRef>
              <c:f>Calculation!$D$18:$D$26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2.7498804399808704E-3</c:v>
                </c:pt>
                <c:pt idx="4">
                  <c:v>4.9938481580661508E-3</c:v>
                </c:pt>
                <c:pt idx="5">
                  <c:v>1.2634585805317514E-2</c:v>
                </c:pt>
                <c:pt idx="6">
                  <c:v>2.4041811846689898E-2</c:v>
                </c:pt>
                <c:pt idx="7">
                  <c:v>1.9668774465522433E-2</c:v>
                </c:pt>
                <c:pt idx="8">
                  <c:v>2.6552845528455285E-2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BB-4B39-9C7C-3E7E990E6D38}"/>
            </c:ext>
          </c:extLst>
        </c:ser>
        <c:ser>
          <c:idx val="2"/>
          <c:order val="2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Calculation!$A$40:$A$58</c:f>
              <c:numCache>
                <c:formatCode>General</c:formatCode>
                <c:ptCount val="1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</c:numCache>
            </c:numRef>
          </c:xVal>
          <c:yVal>
            <c:numRef>
              <c:f>Calculation!$B$40:$B$58</c:f>
              <c:numCache>
                <c:formatCode>General</c:formatCode>
                <c:ptCount val="19"/>
                <c:pt idx="0">
                  <c:v>0</c:v>
                </c:pt>
                <c:pt idx="1">
                  <c:v>9.5259868922420247E-6</c:v>
                </c:pt>
                <c:pt idx="2">
                  <c:v>1.5241579027587261E-4</c:v>
                </c:pt>
                <c:pt idx="3">
                  <c:v>7.716049382716049E-4</c:v>
                </c:pt>
                <c:pt idx="4">
                  <c:v>2.4386526444139609E-3</c:v>
                </c:pt>
                <c:pt idx="5">
                  <c:v>5.9537418076512699E-3</c:v>
                </c:pt>
                <c:pt idx="6">
                  <c:v>1.2345679012345684E-2</c:v>
                </c:pt>
                <c:pt idx="7">
                  <c:v>2.2871894528273113E-2</c:v>
                </c:pt>
                <c:pt idx="8">
                  <c:v>3.9018442310623389E-2</c:v>
                </c:pt>
                <c:pt idx="9">
                  <c:v>6.2500000000000056E-2</c:v>
                </c:pt>
                <c:pt idx="10">
                  <c:v>9.5259868922420388E-2</c:v>
                </c:pt>
                <c:pt idx="11">
                  <c:v>0.13946997408931569</c:v>
                </c:pt>
                <c:pt idx="12">
                  <c:v>0.19753086419753085</c:v>
                </c:pt>
                <c:pt idx="13">
                  <c:v>0.27207171162932481</c:v>
                </c:pt>
                <c:pt idx="14">
                  <c:v>0.36595031245237009</c:v>
                </c:pt>
                <c:pt idx="15">
                  <c:v>0.4822530864197529</c:v>
                </c:pt>
                <c:pt idx="16">
                  <c:v>0.62429507696997422</c:v>
                </c:pt>
                <c:pt idx="17">
                  <c:v>0.79561995122694706</c:v>
                </c:pt>
                <c:pt idx="1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3B-49DF-9B5B-2468D26B02F0}"/>
            </c:ext>
          </c:extLst>
        </c:ser>
        <c:ser>
          <c:idx val="3"/>
          <c:order val="3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Calculation!$A$40:$A$58</c:f>
              <c:numCache>
                <c:formatCode>General</c:formatCode>
                <c:ptCount val="1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</c:numCache>
            </c:numRef>
          </c:xVal>
          <c:yVal>
            <c:numRef>
              <c:f>Calculation!$C$40:$C$58</c:f>
              <c:numCache>
                <c:formatCode>General</c:formatCode>
                <c:ptCount val="19"/>
                <c:pt idx="0">
                  <c:v>1</c:v>
                </c:pt>
                <c:pt idx="1">
                  <c:v>0.89197530864197527</c:v>
                </c:pt>
                <c:pt idx="2">
                  <c:v>0.79012345679012352</c:v>
                </c:pt>
                <c:pt idx="3">
                  <c:v>0.69444444444444431</c:v>
                </c:pt>
                <c:pt idx="4">
                  <c:v>0.60493827160493807</c:v>
                </c:pt>
                <c:pt idx="5">
                  <c:v>0.52160493827160492</c:v>
                </c:pt>
                <c:pt idx="6">
                  <c:v>0.44444444444444442</c:v>
                </c:pt>
                <c:pt idx="7">
                  <c:v>0.37345679012345684</c:v>
                </c:pt>
                <c:pt idx="8">
                  <c:v>0.30864197530864201</c:v>
                </c:pt>
                <c:pt idx="9">
                  <c:v>0.24999999999999994</c:v>
                </c:pt>
                <c:pt idx="10">
                  <c:v>0.19753086419753088</c:v>
                </c:pt>
                <c:pt idx="11">
                  <c:v>0.15123456790123452</c:v>
                </c:pt>
                <c:pt idx="12">
                  <c:v>0.11111111111111113</c:v>
                </c:pt>
                <c:pt idx="13">
                  <c:v>7.7160493827160503E-2</c:v>
                </c:pt>
                <c:pt idx="14">
                  <c:v>4.9382716049382686E-2</c:v>
                </c:pt>
                <c:pt idx="15">
                  <c:v>2.7777777777777783E-2</c:v>
                </c:pt>
                <c:pt idx="16">
                  <c:v>1.2345679012345671E-2</c:v>
                </c:pt>
                <c:pt idx="17">
                  <c:v>3.0864197530864248E-3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3B-49DF-9B5B-2468D26B0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019888"/>
        <c:axId val="2013185376"/>
      </c:scatterChart>
      <c:valAx>
        <c:axId val="191201988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185376"/>
        <c:crosses val="autoZero"/>
        <c:crossBetween val="midCat"/>
      </c:valAx>
      <c:valAx>
        <c:axId val="20131853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201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kr(fw)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Calculation!$E$4:$E$12</c:f>
              <c:numCache>
                <c:formatCode>0.00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0.66666666666666663</c:v>
                </c:pt>
                <c:pt idx="4">
                  <c:v>0.5</c:v>
                </c:pt>
                <c:pt idx="5">
                  <c:v>0.2</c:v>
                </c:pt>
                <c:pt idx="6">
                  <c:v>8.4745762711864403E-2</c:v>
                </c:pt>
                <c:pt idx="7" formatCode="0.000">
                  <c:v>1.7301038062283738E-2</c:v>
                </c:pt>
                <c:pt idx="8">
                  <c:v>0</c:v>
                </c:pt>
              </c:numCache>
            </c:numRef>
          </c:xVal>
          <c:yVal>
            <c:numRef>
              <c:f>Calculation!$C$18:$C$26</c:f>
              <c:numCache>
                <c:formatCode>0.00</c:formatCode>
                <c:ptCount val="9"/>
                <c:pt idx="0">
                  <c:v>1</c:v>
                </c:pt>
                <c:pt idx="1">
                  <c:v>1.0176991150442478</c:v>
                </c:pt>
                <c:pt idx="2">
                  <c:v>1.0207100591715978</c:v>
                </c:pt>
                <c:pt idx="3">
                  <c:v>0.67647058823529427</c:v>
                </c:pt>
                <c:pt idx="4">
                  <c:v>0.61424332344213639</c:v>
                </c:pt>
                <c:pt idx="5">
                  <c:v>0.38851351351351354</c:v>
                </c:pt>
                <c:pt idx="6">
                  <c:v>0.27380952380952378</c:v>
                </c:pt>
                <c:pt idx="7">
                  <c:v>4.2592592592592585E-2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98-416D-B703-8208F732E84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Calculation!$E$4:$E$12</c:f>
              <c:numCache>
                <c:formatCode>0.00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0.66666666666666663</c:v>
                </c:pt>
                <c:pt idx="4">
                  <c:v>0.5</c:v>
                </c:pt>
                <c:pt idx="5">
                  <c:v>0.2</c:v>
                </c:pt>
                <c:pt idx="6">
                  <c:v>8.4745762711864403E-2</c:v>
                </c:pt>
                <c:pt idx="7" formatCode="0.000">
                  <c:v>1.7301038062283738E-2</c:v>
                </c:pt>
                <c:pt idx="8">
                  <c:v>0</c:v>
                </c:pt>
              </c:numCache>
            </c:numRef>
          </c:xVal>
          <c:yVal>
            <c:numRef>
              <c:f>Calculation!$D$18:$D$26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2.7498804399808704E-3</c:v>
                </c:pt>
                <c:pt idx="4">
                  <c:v>4.9938481580661508E-3</c:v>
                </c:pt>
                <c:pt idx="5">
                  <c:v>1.2634585805317514E-2</c:v>
                </c:pt>
                <c:pt idx="6">
                  <c:v>2.4041811846689898E-2</c:v>
                </c:pt>
                <c:pt idx="7">
                  <c:v>1.9668774465522433E-2</c:v>
                </c:pt>
                <c:pt idx="8">
                  <c:v>2.6552845528455285E-2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98-416D-B703-8208F732E84F}"/>
            </c:ext>
          </c:extLst>
        </c:ser>
        <c:ser>
          <c:idx val="2"/>
          <c:order val="2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Calculation!$D$40:$D$58</c:f>
              <c:numCache>
                <c:formatCode>General</c:formatCode>
                <c:ptCount val="19"/>
                <c:pt idx="0">
                  <c:v>0</c:v>
                </c:pt>
                <c:pt idx="1">
                  <c:v>2.1359301687534323E-7</c:v>
                </c:pt>
                <c:pt idx="2">
                  <c:v>3.8580098070609303E-6</c:v>
                </c:pt>
                <c:pt idx="3">
                  <c:v>2.2221728406035426E-5</c:v>
                </c:pt>
                <c:pt idx="4">
                  <c:v>8.0618342688420195E-5</c:v>
                </c:pt>
                <c:pt idx="5">
                  <c:v>2.2823338232743262E-4</c:v>
                </c:pt>
                <c:pt idx="6">
                  <c:v>5.5524708495280426E-4</c:v>
                </c:pt>
                <c:pt idx="7">
                  <c:v>1.2233765294117338E-3</c:v>
                </c:pt>
                <c:pt idx="8">
                  <c:v>2.5220184028530335E-3</c:v>
                </c:pt>
                <c:pt idx="9">
                  <c:v>4.9751243781094587E-3</c:v>
                </c:pt>
                <c:pt idx="10">
                  <c:v>9.5529231944975167E-3</c:v>
                </c:pt>
                <c:pt idx="11">
                  <c:v>1.8110165120274711E-2</c:v>
                </c:pt>
                <c:pt idx="12">
                  <c:v>3.4334763948497847E-2</c:v>
                </c:pt>
                <c:pt idx="13">
                  <c:v>6.5875390083517657E-2</c:v>
                </c:pt>
                <c:pt idx="14">
                  <c:v>0.1290790817697974</c:v>
                </c:pt>
                <c:pt idx="15">
                  <c:v>0.25773195876288651</c:v>
                </c:pt>
                <c:pt idx="16">
                  <c:v>0.50282347164252417</c:v>
                </c:pt>
                <c:pt idx="17">
                  <c:v>0.83754675544769885</c:v>
                </c:pt>
                <c:pt idx="18">
                  <c:v>1</c:v>
                </c:pt>
              </c:numCache>
            </c:numRef>
          </c:xVal>
          <c:yVal>
            <c:numRef>
              <c:f>Calculation!$B$40:$B$58</c:f>
              <c:numCache>
                <c:formatCode>General</c:formatCode>
                <c:ptCount val="19"/>
                <c:pt idx="0">
                  <c:v>0</c:v>
                </c:pt>
                <c:pt idx="1">
                  <c:v>9.5259868922420247E-6</c:v>
                </c:pt>
                <c:pt idx="2">
                  <c:v>1.5241579027587261E-4</c:v>
                </c:pt>
                <c:pt idx="3">
                  <c:v>7.716049382716049E-4</c:v>
                </c:pt>
                <c:pt idx="4">
                  <c:v>2.4386526444139609E-3</c:v>
                </c:pt>
                <c:pt idx="5">
                  <c:v>5.9537418076512699E-3</c:v>
                </c:pt>
                <c:pt idx="6">
                  <c:v>1.2345679012345684E-2</c:v>
                </c:pt>
                <c:pt idx="7">
                  <c:v>2.2871894528273113E-2</c:v>
                </c:pt>
                <c:pt idx="8">
                  <c:v>3.9018442310623389E-2</c:v>
                </c:pt>
                <c:pt idx="9">
                  <c:v>6.2500000000000056E-2</c:v>
                </c:pt>
                <c:pt idx="10">
                  <c:v>9.5259868922420388E-2</c:v>
                </c:pt>
                <c:pt idx="11">
                  <c:v>0.13946997408931569</c:v>
                </c:pt>
                <c:pt idx="12">
                  <c:v>0.19753086419753085</c:v>
                </c:pt>
                <c:pt idx="13">
                  <c:v>0.27207171162932481</c:v>
                </c:pt>
                <c:pt idx="14">
                  <c:v>0.36595031245237009</c:v>
                </c:pt>
                <c:pt idx="15">
                  <c:v>0.4822530864197529</c:v>
                </c:pt>
                <c:pt idx="16">
                  <c:v>0.62429507696997422</c:v>
                </c:pt>
                <c:pt idx="17">
                  <c:v>0.79561995122694706</c:v>
                </c:pt>
                <c:pt idx="1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98-416D-B703-8208F732E84F}"/>
            </c:ext>
          </c:extLst>
        </c:ser>
        <c:ser>
          <c:idx val="3"/>
          <c:order val="3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Calculation!$D$40:$D$58</c:f>
              <c:numCache>
                <c:formatCode>General</c:formatCode>
                <c:ptCount val="19"/>
                <c:pt idx="0">
                  <c:v>0</c:v>
                </c:pt>
                <c:pt idx="1">
                  <c:v>2.1359301687534323E-7</c:v>
                </c:pt>
                <c:pt idx="2">
                  <c:v>3.8580098070609303E-6</c:v>
                </c:pt>
                <c:pt idx="3">
                  <c:v>2.2221728406035426E-5</c:v>
                </c:pt>
                <c:pt idx="4">
                  <c:v>8.0618342688420195E-5</c:v>
                </c:pt>
                <c:pt idx="5">
                  <c:v>2.2823338232743262E-4</c:v>
                </c:pt>
                <c:pt idx="6">
                  <c:v>5.5524708495280426E-4</c:v>
                </c:pt>
                <c:pt idx="7">
                  <c:v>1.2233765294117338E-3</c:v>
                </c:pt>
                <c:pt idx="8">
                  <c:v>2.5220184028530335E-3</c:v>
                </c:pt>
                <c:pt idx="9">
                  <c:v>4.9751243781094587E-3</c:v>
                </c:pt>
                <c:pt idx="10">
                  <c:v>9.5529231944975167E-3</c:v>
                </c:pt>
                <c:pt idx="11">
                  <c:v>1.8110165120274711E-2</c:v>
                </c:pt>
                <c:pt idx="12">
                  <c:v>3.4334763948497847E-2</c:v>
                </c:pt>
                <c:pt idx="13">
                  <c:v>6.5875390083517657E-2</c:v>
                </c:pt>
                <c:pt idx="14">
                  <c:v>0.1290790817697974</c:v>
                </c:pt>
                <c:pt idx="15">
                  <c:v>0.25773195876288651</c:v>
                </c:pt>
                <c:pt idx="16">
                  <c:v>0.50282347164252417</c:v>
                </c:pt>
                <c:pt idx="17">
                  <c:v>0.83754675544769885</c:v>
                </c:pt>
                <c:pt idx="18">
                  <c:v>1</c:v>
                </c:pt>
              </c:numCache>
            </c:numRef>
          </c:xVal>
          <c:yVal>
            <c:numRef>
              <c:f>Calculation!$C$40:$C$58</c:f>
              <c:numCache>
                <c:formatCode>General</c:formatCode>
                <c:ptCount val="19"/>
                <c:pt idx="0">
                  <c:v>1</c:v>
                </c:pt>
                <c:pt idx="1">
                  <c:v>0.89197530864197527</c:v>
                </c:pt>
                <c:pt idx="2">
                  <c:v>0.79012345679012352</c:v>
                </c:pt>
                <c:pt idx="3">
                  <c:v>0.69444444444444431</c:v>
                </c:pt>
                <c:pt idx="4">
                  <c:v>0.60493827160493807</c:v>
                </c:pt>
                <c:pt idx="5">
                  <c:v>0.52160493827160492</c:v>
                </c:pt>
                <c:pt idx="6">
                  <c:v>0.44444444444444442</c:v>
                </c:pt>
                <c:pt idx="7">
                  <c:v>0.37345679012345684</c:v>
                </c:pt>
                <c:pt idx="8">
                  <c:v>0.30864197530864201</c:v>
                </c:pt>
                <c:pt idx="9">
                  <c:v>0.24999999999999994</c:v>
                </c:pt>
                <c:pt idx="10">
                  <c:v>0.19753086419753088</c:v>
                </c:pt>
                <c:pt idx="11">
                  <c:v>0.15123456790123452</c:v>
                </c:pt>
                <c:pt idx="12">
                  <c:v>0.11111111111111113</c:v>
                </c:pt>
                <c:pt idx="13">
                  <c:v>7.7160493827160503E-2</c:v>
                </c:pt>
                <c:pt idx="14">
                  <c:v>4.9382716049382686E-2</c:v>
                </c:pt>
                <c:pt idx="15">
                  <c:v>2.7777777777777783E-2</c:v>
                </c:pt>
                <c:pt idx="16">
                  <c:v>1.2345679012345671E-2</c:v>
                </c:pt>
                <c:pt idx="17">
                  <c:v>3.0864197530864248E-3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98-416D-B703-8208F732E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019888"/>
        <c:axId val="2013185376"/>
      </c:scatterChart>
      <c:valAx>
        <c:axId val="191201988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185376"/>
        <c:crosses val="autoZero"/>
        <c:crossBetween val="midCat"/>
      </c:valAx>
      <c:valAx>
        <c:axId val="20131853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201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fw(Sw)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sw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Calculation!$A$38:$A$58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Calculation!$D$38:$D$58</c:f>
              <c:numCache>
                <c:formatCode>General</c:formatCode>
                <c:ptCount val="21"/>
                <c:pt idx="0">
                  <c:v>2.4691297058525783E-6</c:v>
                </c:pt>
                <c:pt idx="1">
                  <c:v>1.709927548659836E-7</c:v>
                </c:pt>
                <c:pt idx="2">
                  <c:v>0</c:v>
                </c:pt>
                <c:pt idx="3">
                  <c:v>2.1359301687534323E-7</c:v>
                </c:pt>
                <c:pt idx="4">
                  <c:v>3.8580098070609303E-6</c:v>
                </c:pt>
                <c:pt idx="5">
                  <c:v>2.2221728406035426E-5</c:v>
                </c:pt>
                <c:pt idx="6">
                  <c:v>8.0618342688420195E-5</c:v>
                </c:pt>
                <c:pt idx="7">
                  <c:v>2.2823338232743262E-4</c:v>
                </c:pt>
                <c:pt idx="8">
                  <c:v>5.5524708495280426E-4</c:v>
                </c:pt>
                <c:pt idx="9">
                  <c:v>1.2233765294117338E-3</c:v>
                </c:pt>
                <c:pt idx="10">
                  <c:v>2.5220184028530335E-3</c:v>
                </c:pt>
                <c:pt idx="11">
                  <c:v>4.9751243781094587E-3</c:v>
                </c:pt>
                <c:pt idx="12">
                  <c:v>9.5529231944975167E-3</c:v>
                </c:pt>
                <c:pt idx="13">
                  <c:v>1.8110165120274711E-2</c:v>
                </c:pt>
                <c:pt idx="14">
                  <c:v>3.4334763948497847E-2</c:v>
                </c:pt>
                <c:pt idx="15">
                  <c:v>6.5875390083517657E-2</c:v>
                </c:pt>
                <c:pt idx="16">
                  <c:v>0.1290790817697974</c:v>
                </c:pt>
                <c:pt idx="17">
                  <c:v>0.25773195876288651</c:v>
                </c:pt>
                <c:pt idx="18">
                  <c:v>0.50282347164252417</c:v>
                </c:pt>
                <c:pt idx="19">
                  <c:v>0.83754675544769885</c:v>
                </c:pt>
                <c:pt idx="2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AA-4CCF-895A-D61940D65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6120384"/>
        <c:axId val="1084513184"/>
      </c:scatterChart>
      <c:valAx>
        <c:axId val="122612038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4513184"/>
        <c:crosses val="autoZero"/>
        <c:crossBetween val="midCat"/>
      </c:valAx>
      <c:valAx>
        <c:axId val="10845131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120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581164</xdr:colOff>
      <xdr:row>32</xdr:row>
      <xdr:rowOff>140074</xdr:rowOff>
    </xdr:from>
    <xdr:to>
      <xdr:col>15</xdr:col>
      <xdr:colOff>353755</xdr:colOff>
      <xdr:row>50</xdr:row>
      <xdr:rowOff>20059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0B8BF9-A295-4BBF-8FB6-8DBEE8C45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22413</xdr:colOff>
      <xdr:row>15</xdr:row>
      <xdr:rowOff>116541</xdr:rowOff>
    </xdr:from>
    <xdr:to>
      <xdr:col>20</xdr:col>
      <xdr:colOff>818031</xdr:colOff>
      <xdr:row>33</xdr:row>
      <xdr:rowOff>44824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A7EB341-615B-4F57-9651-69DFB82EB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117661</xdr:colOff>
      <xdr:row>34</xdr:row>
      <xdr:rowOff>146797</xdr:rowOff>
    </xdr:from>
    <xdr:to>
      <xdr:col>20</xdr:col>
      <xdr:colOff>902073</xdr:colOff>
      <xdr:row>49</xdr:row>
      <xdr:rowOff>32497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4C4D9C-DD0D-40EA-9DEA-375EA7B79E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wm96/Box/2019/Worksheets/Parameters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ate Saturation"/>
      <sheetName val="P-T Diagram"/>
      <sheetName val="Packing Conditions"/>
      <sheetName val="Methane Consumption"/>
      <sheetName val="Flow raitos"/>
      <sheetName val="Darcys"/>
      <sheetName val="Darcy_Buckin"/>
    </sheetNames>
    <sheetDataSet>
      <sheetData sheetId="0"/>
      <sheetData sheetId="1"/>
      <sheetData sheetId="2">
        <row r="2">
          <cell r="C2">
            <v>637.08331346928389</v>
          </cell>
          <cell r="D2">
            <v>127.41666269385678</v>
          </cell>
          <cell r="E2">
            <v>509.66665077542712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476C-FFCA-4D8E-A043-75B1E75C0E60}">
  <dimension ref="A1:O20"/>
  <sheetViews>
    <sheetView workbookViewId="0">
      <selection activeCell="B12" sqref="B12"/>
    </sheetView>
  </sheetViews>
  <sheetFormatPr defaultRowHeight="15" x14ac:dyDescent="0.25"/>
  <cols>
    <col min="1" max="1" width="14.85546875" bestFit="1" customWidth="1"/>
    <col min="2" max="2" width="11" customWidth="1"/>
    <col min="8" max="8" width="12.28515625" customWidth="1"/>
    <col min="9" max="9" width="16.85546875" customWidth="1"/>
    <col min="10" max="10" width="16.28515625" bestFit="1" customWidth="1"/>
    <col min="13" max="13" width="16.42578125" customWidth="1"/>
    <col min="14" max="14" width="16.7109375" customWidth="1"/>
  </cols>
  <sheetData>
    <row r="1" spans="1:15" x14ac:dyDescent="0.25">
      <c r="A1" s="33" t="s">
        <v>13</v>
      </c>
      <c r="B1" s="33"/>
      <c r="C1" s="33"/>
      <c r="D1" s="33"/>
      <c r="E1" s="33"/>
      <c r="F1" s="33"/>
      <c r="G1" s="33"/>
      <c r="H1" s="32" t="s">
        <v>23</v>
      </c>
      <c r="I1" s="32"/>
      <c r="J1" s="34" t="s">
        <v>118</v>
      </c>
      <c r="K1" s="34"/>
      <c r="L1" s="34"/>
      <c r="M1" s="34" t="s">
        <v>119</v>
      </c>
      <c r="N1" s="34"/>
      <c r="O1" s="34"/>
    </row>
    <row r="2" spans="1:15" x14ac:dyDescent="0.25">
      <c r="A2" s="8" t="s">
        <v>14</v>
      </c>
      <c r="B2" s="3">
        <v>1.5</v>
      </c>
      <c r="C2" s="6" t="s">
        <v>15</v>
      </c>
      <c r="D2" s="22">
        <f>B2*2.54/100</f>
        <v>3.8100000000000002E-2</v>
      </c>
      <c r="E2" s="9" t="s">
        <v>52</v>
      </c>
      <c r="F2" s="22">
        <f>B2*2.54</f>
        <v>3.81</v>
      </c>
      <c r="G2" s="6" t="s">
        <v>16</v>
      </c>
      <c r="H2" s="6" t="s">
        <v>6</v>
      </c>
      <c r="I2" s="3">
        <v>250</v>
      </c>
      <c r="J2" s="6" t="s">
        <v>114</v>
      </c>
      <c r="K2">
        <v>1263.19</v>
      </c>
      <c r="L2" s="6" t="s">
        <v>73</v>
      </c>
      <c r="M2" s="6" t="s">
        <v>114</v>
      </c>
      <c r="N2" s="3">
        <v>1276.32</v>
      </c>
      <c r="O2" s="6" t="s">
        <v>73</v>
      </c>
    </row>
    <row r="3" spans="1:15" x14ac:dyDescent="0.25">
      <c r="A3" s="9" t="s">
        <v>17</v>
      </c>
      <c r="B3" s="3">
        <f>B2/2</f>
        <v>0.75</v>
      </c>
      <c r="C3" s="6" t="s">
        <v>15</v>
      </c>
      <c r="D3" s="22">
        <f>D2/2</f>
        <v>1.9050000000000001E-2</v>
      </c>
      <c r="E3" s="9" t="s">
        <v>52</v>
      </c>
      <c r="F3" s="22">
        <f>F2/2</f>
        <v>1.905</v>
      </c>
      <c r="G3" s="6" t="s">
        <v>16</v>
      </c>
      <c r="H3" s="6" t="s">
        <v>108</v>
      </c>
      <c r="I3" s="3">
        <v>72</v>
      </c>
      <c r="J3" s="6" t="s">
        <v>115</v>
      </c>
      <c r="K3">
        <v>1359.1</v>
      </c>
      <c r="L3" s="6" t="s">
        <v>73</v>
      </c>
      <c r="M3" s="6" t="s">
        <v>115</v>
      </c>
      <c r="N3" s="3">
        <v>1365.8</v>
      </c>
      <c r="O3" s="6" t="s">
        <v>73</v>
      </c>
    </row>
    <row r="4" spans="1:15" x14ac:dyDescent="0.25">
      <c r="A4" s="9" t="s">
        <v>18</v>
      </c>
      <c r="B4" s="3">
        <v>22</v>
      </c>
      <c r="C4" s="6" t="s">
        <v>15</v>
      </c>
      <c r="D4" s="22">
        <f>B4*2.54/100</f>
        <v>0.55880000000000007</v>
      </c>
      <c r="E4" s="9" t="s">
        <v>52</v>
      </c>
      <c r="F4" s="22">
        <f>B4*2.54</f>
        <v>55.88</v>
      </c>
      <c r="G4" s="6" t="s">
        <v>16</v>
      </c>
      <c r="H4" s="6" t="s">
        <v>109</v>
      </c>
      <c r="I4" s="23">
        <f>(I3-32)*5/9</f>
        <v>22.222222222222221</v>
      </c>
      <c r="J4" s="6" t="s">
        <v>116</v>
      </c>
      <c r="K4">
        <v>1329.3</v>
      </c>
      <c r="L4" s="6" t="s">
        <v>73</v>
      </c>
      <c r="M4" s="6" t="s">
        <v>116</v>
      </c>
      <c r="N4" s="3"/>
      <c r="O4" s="6" t="s">
        <v>73</v>
      </c>
    </row>
    <row r="5" spans="1:15" x14ac:dyDescent="0.25">
      <c r="A5" s="9" t="s">
        <v>89</v>
      </c>
      <c r="B5">
        <v>4</v>
      </c>
      <c r="C5" s="6" t="s">
        <v>15</v>
      </c>
      <c r="D5" s="22">
        <f>B5*2.54/100</f>
        <v>0.1016</v>
      </c>
      <c r="E5" s="9" t="s">
        <v>52</v>
      </c>
      <c r="F5" s="22">
        <f>B5*2.54</f>
        <v>10.16</v>
      </c>
      <c r="G5" s="6" t="s">
        <v>16</v>
      </c>
      <c r="J5" s="6" t="s">
        <v>117</v>
      </c>
      <c r="L5" s="6" t="s">
        <v>62</v>
      </c>
      <c r="M5" s="6" t="s">
        <v>117</v>
      </c>
      <c r="N5" s="3"/>
      <c r="O5" s="6" t="s">
        <v>62</v>
      </c>
    </row>
    <row r="6" spans="1:15" x14ac:dyDescent="0.25">
      <c r="A6" s="9" t="s">
        <v>91</v>
      </c>
      <c r="B6" s="23">
        <f>PI()*B3^2</f>
        <v>1.7671458676442586</v>
      </c>
      <c r="C6" s="6" t="s">
        <v>92</v>
      </c>
      <c r="D6" s="22">
        <f>PI()*D3^2</f>
        <v>1.1400918279693699E-3</v>
      </c>
      <c r="E6" s="9" t="s">
        <v>93</v>
      </c>
      <c r="F6" s="22">
        <f>PI()*F3^2</f>
        <v>11.400918279693698</v>
      </c>
      <c r="G6" s="6" t="s">
        <v>122</v>
      </c>
      <c r="J6" s="6" t="s">
        <v>120</v>
      </c>
      <c r="K6">
        <f>K4-K2</f>
        <v>66.1099999999999</v>
      </c>
      <c r="L6" s="6" t="s">
        <v>75</v>
      </c>
      <c r="M6" s="6" t="s">
        <v>120</v>
      </c>
      <c r="N6" s="3">
        <f>N4-N2</f>
        <v>-1276.32</v>
      </c>
      <c r="O6" s="6" t="s">
        <v>75</v>
      </c>
    </row>
    <row r="7" spans="1:15" x14ac:dyDescent="0.25">
      <c r="A7" s="9" t="s">
        <v>19</v>
      </c>
      <c r="B7" s="23">
        <f>PI()*B3^2*B4</f>
        <v>38.877209088173693</v>
      </c>
      <c r="C7" s="6" t="s">
        <v>20</v>
      </c>
      <c r="D7" s="22">
        <f>D3^2*PI()*D4</f>
        <v>6.3708331346928404E-4</v>
      </c>
      <c r="E7" s="9" t="s">
        <v>94</v>
      </c>
      <c r="F7" s="22">
        <f>F3^2*PI()*F4</f>
        <v>637.08331346928389</v>
      </c>
      <c r="G7" s="6" t="s">
        <v>107</v>
      </c>
      <c r="J7" s="6" t="s">
        <v>121</v>
      </c>
      <c r="K7">
        <f>(K3-K2)</f>
        <v>95.909999999999854</v>
      </c>
      <c r="L7" s="6" t="s">
        <v>21</v>
      </c>
      <c r="M7" s="6" t="s">
        <v>121</v>
      </c>
      <c r="N7" s="3">
        <f>N3-N2</f>
        <v>89.480000000000018</v>
      </c>
      <c r="O7" s="6" t="s">
        <v>21</v>
      </c>
    </row>
    <row r="8" spans="1:15" x14ac:dyDescent="0.25">
      <c r="A8" s="9" t="s">
        <v>24</v>
      </c>
      <c r="B8">
        <f>AVERAGE(N8,K8)</f>
        <v>0.14549902350325661</v>
      </c>
      <c r="C8" s="6" t="s">
        <v>112</v>
      </c>
      <c r="E8" s="6"/>
      <c r="J8" s="6" t="s">
        <v>24</v>
      </c>
      <c r="K8">
        <f>K7/$F$7</f>
        <v>0.15054545923941237</v>
      </c>
      <c r="L8" s="6" t="s">
        <v>112</v>
      </c>
      <c r="M8" s="6" t="s">
        <v>24</v>
      </c>
      <c r="N8" s="3">
        <f>N7/$F$7</f>
        <v>0.14045258776710084</v>
      </c>
      <c r="O8" s="6" t="s">
        <v>112</v>
      </c>
    </row>
    <row r="9" spans="1:15" x14ac:dyDescent="0.25">
      <c r="A9" s="9" t="s">
        <v>25</v>
      </c>
      <c r="B9" s="2">
        <f>B7*B8</f>
        <v>5.6565959588612058</v>
      </c>
      <c r="C9" s="6" t="s">
        <v>113</v>
      </c>
      <c r="D9" s="3">
        <f>D7*B8</f>
        <v>9.2694999999999952E-5</v>
      </c>
      <c r="E9" s="6" t="s">
        <v>94</v>
      </c>
      <c r="F9">
        <f>D9*100^3</f>
        <v>92.694999999999951</v>
      </c>
      <c r="G9" s="6" t="s">
        <v>107</v>
      </c>
      <c r="J9" s="6"/>
    </row>
    <row r="10" spans="1:15" x14ac:dyDescent="0.25">
      <c r="A10" s="6" t="s">
        <v>110</v>
      </c>
      <c r="B10">
        <v>1.23E-3</v>
      </c>
      <c r="C10" s="6" t="s">
        <v>95</v>
      </c>
      <c r="D10" s="3"/>
      <c r="E10" s="6"/>
    </row>
    <row r="11" spans="1:15" x14ac:dyDescent="0.25">
      <c r="A11" s="26" t="s">
        <v>111</v>
      </c>
      <c r="B11" s="21">
        <v>1.0000000000000001E-5</v>
      </c>
      <c r="C11" s="6" t="s">
        <v>95</v>
      </c>
      <c r="E11" s="6"/>
    </row>
    <row r="19" spans="9:10" x14ac:dyDescent="0.25">
      <c r="I19" s="29" t="s">
        <v>125</v>
      </c>
      <c r="J19" s="29" t="s">
        <v>126</v>
      </c>
    </row>
    <row r="20" spans="9:10" x14ac:dyDescent="0.25">
      <c r="I20" s="29">
        <f>AVERAGE(K8,N8)</f>
        <v>0.14549902350325661</v>
      </c>
      <c r="J20" s="29">
        <f>AVERAGE(K7,N7)</f>
        <v>92.694999999999936</v>
      </c>
    </row>
  </sheetData>
  <mergeCells count="4">
    <mergeCell ref="H1:I1"/>
    <mergeCell ref="A1:G1"/>
    <mergeCell ref="J1:L1"/>
    <mergeCell ref="M1:O1"/>
  </mergeCells>
  <pageMargins left="0.7" right="0.7" top="0.75" bottom="0.75" header="0.3" footer="0.3"/>
  <pageSetup paperSize="1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zoomScale="70" zoomScaleNormal="70" workbookViewId="0">
      <selection activeCell="K24" sqref="K24"/>
    </sheetView>
  </sheetViews>
  <sheetFormatPr defaultRowHeight="15" x14ac:dyDescent="0.25"/>
  <cols>
    <col min="3" max="3" width="9.5703125" bestFit="1" customWidth="1"/>
    <col min="4" max="4" width="12.28515625" bestFit="1" customWidth="1"/>
    <col min="5" max="5" width="11.85546875" customWidth="1"/>
    <col min="6" max="6" width="9.5703125" bestFit="1" customWidth="1"/>
    <col min="7" max="7" width="19.140625" bestFit="1" customWidth="1"/>
    <col min="8" max="8" width="9.5703125" bestFit="1" customWidth="1"/>
    <col min="9" max="9" width="11.140625" bestFit="1" customWidth="1"/>
    <col min="10" max="10" width="10.42578125" bestFit="1" customWidth="1"/>
    <col min="11" max="11" width="10.140625" bestFit="1" customWidth="1"/>
    <col min="12" max="12" width="11.7109375" style="3" bestFit="1" customWidth="1"/>
    <col min="14" max="15" width="12" style="3" bestFit="1" customWidth="1"/>
    <col min="17" max="17" width="12.140625" customWidth="1"/>
    <col min="18" max="18" width="13.7109375" customWidth="1"/>
    <col min="19" max="19" width="13" customWidth="1"/>
    <col min="20" max="24" width="18" style="3" customWidth="1"/>
    <col min="25" max="25" width="14.42578125" style="3" customWidth="1"/>
    <col min="26" max="28" width="18" style="3" customWidth="1"/>
    <col min="29" max="29" width="13.7109375" customWidth="1"/>
    <col min="30" max="30" width="12.7109375" customWidth="1"/>
    <col min="31" max="31" width="17" bestFit="1" customWidth="1"/>
    <col min="32" max="32" width="12" bestFit="1" customWidth="1"/>
  </cols>
  <sheetData>
    <row r="1" spans="1:31" s="3" customFormat="1" x14ac:dyDescent="0.25">
      <c r="A1" s="40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38" t="s">
        <v>97</v>
      </c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</row>
    <row r="2" spans="1:31" x14ac:dyDescent="0.25">
      <c r="B2" s="39" t="s">
        <v>3</v>
      </c>
      <c r="C2" s="39"/>
      <c r="D2" s="39"/>
      <c r="E2" s="7"/>
      <c r="F2" s="39" t="s">
        <v>7</v>
      </c>
      <c r="G2" s="39"/>
      <c r="H2" s="39"/>
      <c r="I2" s="39" t="s">
        <v>10</v>
      </c>
      <c r="J2" s="39"/>
      <c r="K2" s="39"/>
      <c r="L2" s="39"/>
      <c r="M2" s="39"/>
      <c r="N2" s="39"/>
      <c r="O2" s="39" t="s">
        <v>98</v>
      </c>
      <c r="P2" s="39"/>
      <c r="Q2" s="39"/>
      <c r="R2" s="39"/>
      <c r="S2" s="39"/>
      <c r="T2" s="41" t="s">
        <v>129</v>
      </c>
      <c r="U2" s="41"/>
      <c r="V2" s="41" t="s">
        <v>130</v>
      </c>
      <c r="W2" s="41"/>
      <c r="X2" s="41" t="s">
        <v>131</v>
      </c>
      <c r="Y2" s="41"/>
      <c r="Z2" s="37" t="s">
        <v>132</v>
      </c>
      <c r="AA2" s="37"/>
      <c r="AB2" s="37" t="s">
        <v>137</v>
      </c>
      <c r="AC2" s="37"/>
      <c r="AD2" s="37" t="s">
        <v>138</v>
      </c>
      <c r="AE2" s="37"/>
    </row>
    <row r="3" spans="1:31" x14ac:dyDescent="0.25">
      <c r="A3" s="6" t="s">
        <v>5</v>
      </c>
      <c r="B3" s="6" t="s">
        <v>0</v>
      </c>
      <c r="C3" s="6" t="s">
        <v>1</v>
      </c>
      <c r="D3" s="6" t="s">
        <v>2</v>
      </c>
      <c r="E3" s="6" t="s">
        <v>4</v>
      </c>
      <c r="F3" s="6">
        <v>1</v>
      </c>
      <c r="G3" s="6">
        <v>2</v>
      </c>
      <c r="H3" s="6">
        <v>3</v>
      </c>
      <c r="I3" s="6" t="s">
        <v>8</v>
      </c>
      <c r="J3" s="6" t="s">
        <v>9</v>
      </c>
      <c r="K3" s="6" t="s">
        <v>104</v>
      </c>
      <c r="L3" s="6" t="s">
        <v>22</v>
      </c>
      <c r="M3" s="6" t="s">
        <v>105</v>
      </c>
      <c r="N3" s="6" t="s">
        <v>11</v>
      </c>
      <c r="O3" s="6" t="s">
        <v>87</v>
      </c>
      <c r="P3" s="6" t="s">
        <v>88</v>
      </c>
      <c r="Q3" s="6" t="s">
        <v>99</v>
      </c>
      <c r="R3" s="6" t="s">
        <v>100</v>
      </c>
      <c r="S3" s="6" t="s">
        <v>101</v>
      </c>
      <c r="T3" s="6" t="s">
        <v>90</v>
      </c>
      <c r="U3" s="6" t="s">
        <v>96</v>
      </c>
      <c r="V3" s="6" t="s">
        <v>90</v>
      </c>
      <c r="W3" s="6" t="s">
        <v>96</v>
      </c>
      <c r="X3" s="6" t="s">
        <v>90</v>
      </c>
      <c r="Y3" s="6" t="s">
        <v>96</v>
      </c>
      <c r="Z3" s="6" t="s">
        <v>90</v>
      </c>
      <c r="AA3" s="6" t="s">
        <v>123</v>
      </c>
      <c r="AB3" s="6" t="s">
        <v>90</v>
      </c>
      <c r="AC3" s="6" t="s">
        <v>123</v>
      </c>
      <c r="AD3" s="6" t="s">
        <v>90</v>
      </c>
      <c r="AE3" s="6" t="s">
        <v>123</v>
      </c>
    </row>
    <row r="4" spans="1:31" x14ac:dyDescent="0.25">
      <c r="A4">
        <v>1</v>
      </c>
      <c r="B4">
        <v>1</v>
      </c>
      <c r="C4">
        <v>0</v>
      </c>
      <c r="D4">
        <v>0</v>
      </c>
      <c r="E4" s="2">
        <f>B4/(B4+D4)</f>
        <v>1</v>
      </c>
      <c r="F4">
        <v>1.1499999999999999</v>
      </c>
      <c r="G4">
        <v>1.51</v>
      </c>
      <c r="H4">
        <v>1</v>
      </c>
      <c r="K4">
        <f>J4/B4</f>
        <v>0</v>
      </c>
      <c r="L4" s="3">
        <f t="shared" ref="L4:L12" si="0">I4-J4</f>
        <v>0</v>
      </c>
      <c r="M4" s="3">
        <f>SUM(L4)</f>
        <v>0</v>
      </c>
      <c r="N4">
        <f>($M$21-M4)/$M$21</f>
        <v>1</v>
      </c>
      <c r="O4" s="25">
        <f t="shared" ref="O4:O12" si="1">B4/100^3*1^2/60</f>
        <v>1.6666666666666667E-8</v>
      </c>
      <c r="P4" s="25">
        <f t="shared" ref="P4:P12" si="2">D4/100^3*1^2/60</f>
        <v>0</v>
      </c>
      <c r="Q4">
        <f t="shared" ref="Q4:S12" si="3">F4*6894.8</f>
        <v>7929.0199999999995</v>
      </c>
      <c r="R4" s="3">
        <f t="shared" si="3"/>
        <v>10411.148000000001</v>
      </c>
      <c r="S4" s="3">
        <f t="shared" si="3"/>
        <v>6894.8</v>
      </c>
      <c r="T4" s="24">
        <f>(O4*'Core Parameters'!$B$10*'Core Parameters'!$D$5)/(Q4*'Core Parameters'!$D$6)</f>
        <v>2.3040304954413932E-13</v>
      </c>
      <c r="U4" s="23">
        <f>T4*1013000000000*1000</f>
        <v>233.39828918821311</v>
      </c>
      <c r="V4" s="24">
        <f>(O4*'Core Parameters'!$B$10*'Core Parameters'!$D$5)/(R4*'Core Parameters'!$D$6)</f>
        <v>1.7547252117600012E-13</v>
      </c>
      <c r="W4" s="23">
        <f>V4*1013000000000*1000</f>
        <v>177.7536639512881</v>
      </c>
      <c r="X4" s="24">
        <f>(O4*'Core Parameters'!$B$10*'Core Parameters'!$D$5)/(S4*'Core Parameters'!$D$6)</f>
        <v>2.6496350697576018E-13</v>
      </c>
      <c r="Y4" s="23">
        <f>X4*1013000000000*1000</f>
        <v>268.40803256644506</v>
      </c>
      <c r="Z4" s="24">
        <f>(P4*'Core Parameters'!$B$11*'Core Parameters'!$D$5)/(Q4*'Core Parameters'!$D$6)</f>
        <v>0</v>
      </c>
      <c r="AA4" s="23">
        <f>Z4*1013000000000*1000</f>
        <v>0</v>
      </c>
      <c r="AB4" s="24">
        <f>(P4*'Core Parameters'!$B$11*'Core Parameters'!$D$5)/(R4*'Core Parameters'!$D$6)</f>
        <v>0</v>
      </c>
      <c r="AC4" s="23">
        <f>AB4*1013000000000*1000</f>
        <v>0</v>
      </c>
      <c r="AD4" s="24">
        <f>(P4*'Core Parameters'!$B$11*'Core Parameters'!$D$5)/(S4*'Core Parameters'!$D$6)</f>
        <v>0</v>
      </c>
      <c r="AE4" s="23">
        <f>AD4*1013000000000*1000</f>
        <v>0</v>
      </c>
    </row>
    <row r="5" spans="1:31" s="3" customFormat="1" x14ac:dyDescent="0.25">
      <c r="A5" s="3">
        <v>1</v>
      </c>
      <c r="B5" s="3">
        <v>2</v>
      </c>
      <c r="C5" s="3">
        <v>0</v>
      </c>
      <c r="D5" s="3">
        <v>0</v>
      </c>
      <c r="E5" s="2">
        <f t="shared" ref="E5:E6" si="4">B5/(B5+D5)</f>
        <v>1</v>
      </c>
      <c r="F5" s="3">
        <v>2.2599999999999998</v>
      </c>
      <c r="G5" s="3">
        <v>2.95</v>
      </c>
      <c r="H5" s="3">
        <v>2.04</v>
      </c>
      <c r="N5" s="3">
        <f t="shared" ref="N5:N12" si="5">($M$21-M5)/$M$21</f>
        <v>1</v>
      </c>
      <c r="O5" s="25">
        <f t="shared" si="1"/>
        <v>3.3333333333333334E-8</v>
      </c>
      <c r="P5" s="25">
        <f t="shared" si="2"/>
        <v>0</v>
      </c>
      <c r="Q5" s="3">
        <f t="shared" si="3"/>
        <v>15582.248</v>
      </c>
      <c r="R5" s="3">
        <f t="shared" si="3"/>
        <v>20339.660000000003</v>
      </c>
      <c r="S5" s="3">
        <f t="shared" si="3"/>
        <v>14065.392</v>
      </c>
      <c r="T5" s="24">
        <f>(O5*'Core Parameters'!$B$10*'Core Parameters'!$D$5)/(Q5*'Core Parameters'!$D$6)</f>
        <v>2.3448097962456656E-13</v>
      </c>
      <c r="U5" s="23">
        <f t="shared" ref="U5:W6" si="6">T5*1013000000000*1000</f>
        <v>237.52923235968592</v>
      </c>
      <c r="V5" s="24">
        <f>(O5*'Core Parameters'!$B$10*'Core Parameters'!$D$5)/(R5*'Core Parameters'!$D$6)</f>
        <v>1.7963627591576959E-13</v>
      </c>
      <c r="W5" s="23">
        <f t="shared" si="6"/>
        <v>181.97154750267461</v>
      </c>
      <c r="X5" s="24">
        <f>(O5*'Core Parameters'!$B$10*'Core Parameters'!$D$5)/(S5*'Core Parameters'!$D$6)</f>
        <v>2.5976814409388252E-13</v>
      </c>
      <c r="Y5" s="23">
        <f t="shared" ref="Y5:Y12" si="7">X5*1013000000000*1000</f>
        <v>263.145129967103</v>
      </c>
      <c r="Z5" s="24">
        <f>(P5*'Core Parameters'!$B$11*'Core Parameters'!$D$5)/(Q5*'Core Parameters'!$D$6)</f>
        <v>0</v>
      </c>
      <c r="AA5" s="23">
        <f t="shared" ref="AA5:AC6" si="8">Z5*1013000000000*1000</f>
        <v>0</v>
      </c>
      <c r="AB5" s="24">
        <f>(P5*'Core Parameters'!$B$11*'Core Parameters'!$D$5)/(R5*'Core Parameters'!$D$6)</f>
        <v>0</v>
      </c>
      <c r="AC5" s="23">
        <f t="shared" si="8"/>
        <v>0</v>
      </c>
      <c r="AD5" s="24">
        <f>(P5*'Core Parameters'!$B$11*'Core Parameters'!$D$5)/(S5*'Core Parameters'!$D$6)</f>
        <v>0</v>
      </c>
      <c r="AE5" s="23">
        <f t="shared" ref="AE5" si="9">AD5*1013000000000*1000</f>
        <v>0</v>
      </c>
    </row>
    <row r="6" spans="1:31" s="3" customFormat="1" x14ac:dyDescent="0.25">
      <c r="A6" s="3">
        <v>1</v>
      </c>
      <c r="B6" s="3">
        <v>3</v>
      </c>
      <c r="C6" s="3">
        <v>0</v>
      </c>
      <c r="D6" s="3">
        <v>0</v>
      </c>
      <c r="E6" s="2">
        <f t="shared" si="4"/>
        <v>1</v>
      </c>
      <c r="F6" s="3">
        <v>3.38</v>
      </c>
      <c r="G6" s="3">
        <v>4.4000000000000004</v>
      </c>
      <c r="H6" s="3">
        <v>3.05</v>
      </c>
      <c r="N6" s="3">
        <f t="shared" si="5"/>
        <v>1</v>
      </c>
      <c r="O6" s="25">
        <f t="shared" si="1"/>
        <v>5.0000000000000004E-8</v>
      </c>
      <c r="P6" s="25">
        <f t="shared" si="2"/>
        <v>0</v>
      </c>
      <c r="Q6" s="3">
        <f t="shared" si="3"/>
        <v>23304.423999999999</v>
      </c>
      <c r="R6" s="3">
        <f t="shared" si="3"/>
        <v>30337.120000000003</v>
      </c>
      <c r="S6" s="3">
        <f t="shared" si="3"/>
        <v>21029.14</v>
      </c>
      <c r="T6" s="24">
        <f>(O6*'Core Parameters'!$B$10*'Core Parameters'!$D$5)/(Q6*'Core Parameters'!$D$6)</f>
        <v>2.3517471033351501E-13</v>
      </c>
      <c r="U6" s="23">
        <f t="shared" si="6"/>
        <v>238.23198156785071</v>
      </c>
      <c r="V6" s="24">
        <f>(O6*'Core Parameters'!$B$10*'Core Parameters'!$D$5)/(R6*'Core Parameters'!$D$6)</f>
        <v>1.8065693657438195E-13</v>
      </c>
      <c r="W6" s="23">
        <f t="shared" si="6"/>
        <v>183.0054767498489</v>
      </c>
      <c r="X6" s="24">
        <f>(O6*'Core Parameters'!$B$10*'Core Parameters'!$D$5)/(S6*'Core Parameters'!$D$6)</f>
        <v>2.6061984292697732E-13</v>
      </c>
      <c r="Y6" s="23">
        <f t="shared" si="7"/>
        <v>264.00790088502799</v>
      </c>
      <c r="Z6" s="24">
        <f>(P6*'Core Parameters'!$B$11*'Core Parameters'!$D$5)/(Q6*'Core Parameters'!$D$6)</f>
        <v>0</v>
      </c>
      <c r="AA6" s="23">
        <f t="shared" si="8"/>
        <v>0</v>
      </c>
      <c r="AB6" s="24">
        <f>(P6*'Core Parameters'!$B$11*'Core Parameters'!$D$5)/(R6*'Core Parameters'!$D$6)</f>
        <v>0</v>
      </c>
      <c r="AC6" s="23">
        <f t="shared" si="8"/>
        <v>0</v>
      </c>
      <c r="AD6" s="24">
        <f>(P6*'Core Parameters'!$B$11*'Core Parameters'!$D$5)/(S6*'Core Parameters'!$D$6)</f>
        <v>0</v>
      </c>
      <c r="AE6" s="23">
        <f t="shared" ref="AE6" si="10">AD6*1013000000000*1000</f>
        <v>0</v>
      </c>
    </row>
    <row r="7" spans="1:31" x14ac:dyDescent="0.25">
      <c r="A7">
        <v>0.75</v>
      </c>
      <c r="B7">
        <v>4</v>
      </c>
      <c r="C7">
        <v>16.8</v>
      </c>
      <c r="D7">
        <v>2</v>
      </c>
      <c r="E7" s="2">
        <f t="shared" ref="E7:E12" si="11">B7/(B7+D7)</f>
        <v>0.66666666666666663</v>
      </c>
      <c r="F7">
        <v>6.8</v>
      </c>
      <c r="I7">
        <v>1338</v>
      </c>
      <c r="J7">
        <v>1327.22</v>
      </c>
      <c r="K7" s="3">
        <f>J7/B7</f>
        <v>331.80500000000001</v>
      </c>
      <c r="L7" s="3">
        <f t="shared" si="0"/>
        <v>10.779999999999973</v>
      </c>
      <c r="M7" s="3">
        <f>M4+L7</f>
        <v>10.779999999999973</v>
      </c>
      <c r="N7" s="3">
        <f t="shared" si="5"/>
        <v>0.88320693391115956</v>
      </c>
      <c r="O7" s="25">
        <f t="shared" si="1"/>
        <v>6.6666666666666668E-8</v>
      </c>
      <c r="P7" s="25">
        <f t="shared" si="2"/>
        <v>3.3333333333333334E-8</v>
      </c>
      <c r="Q7" s="3">
        <f t="shared" si="3"/>
        <v>46884.639999999999</v>
      </c>
      <c r="R7" s="3">
        <f t="shared" si="3"/>
        <v>0</v>
      </c>
      <c r="S7" s="3">
        <f t="shared" si="3"/>
        <v>0</v>
      </c>
      <c r="T7" s="24">
        <f>(O7*'Core Parameters'!$B$10*'Core Parameters'!$D$5)/(Q7*'Core Parameters'!$D$6)</f>
        <v>1.5586088645632954E-13</v>
      </c>
      <c r="U7" s="23">
        <f>T7*1013000000000*1000</f>
        <v>157.88707798026184</v>
      </c>
      <c r="V7" s="24" t="e">
        <f>(O7*'Core Parameters'!$B$10*'Core Parameters'!$D$5)/(R7*'Core Parameters'!$D$6)</f>
        <v>#DIV/0!</v>
      </c>
      <c r="W7" s="23" t="e">
        <f>V7*1013000000000*1000</f>
        <v>#DIV/0!</v>
      </c>
      <c r="X7" s="24" t="e">
        <f>(O7*'Core Parameters'!$B$10*'Core Parameters'!$D$5)/(S7*'Core Parameters'!$D$6)</f>
        <v>#DIV/0!</v>
      </c>
      <c r="Y7" s="23" t="e">
        <f t="shared" si="7"/>
        <v>#DIV/0!</v>
      </c>
      <c r="Z7" s="24">
        <f>(P7*'Core Parameters'!$B$11*'Core Parameters'!$D$5)/(Q7*'Core Parameters'!$D$6)</f>
        <v>6.3358083925337212E-16</v>
      </c>
      <c r="AA7" s="23">
        <f>Z7*1013000000000*1000</f>
        <v>0.6418173901636659</v>
      </c>
      <c r="AB7" s="24" t="e">
        <f>(P7*'Core Parameters'!$B$11*'Core Parameters'!$D$5)/(R7*'Core Parameters'!$D$6)</f>
        <v>#DIV/0!</v>
      </c>
      <c r="AC7" s="23" t="e">
        <f>AB7*1013000000000*1000</f>
        <v>#DIV/0!</v>
      </c>
      <c r="AD7" s="24" t="e">
        <f>(P7*'Core Parameters'!$B$11*'Core Parameters'!$D$5)/(S7*'Core Parameters'!$D$6)</f>
        <v>#DIV/0!</v>
      </c>
      <c r="AE7" s="23" t="e">
        <f>AD7*1013000000000*1000</f>
        <v>#DIV/0!</v>
      </c>
    </row>
    <row r="8" spans="1:31" x14ac:dyDescent="0.25">
      <c r="A8">
        <v>0.5</v>
      </c>
      <c r="B8">
        <v>1.8</v>
      </c>
      <c r="C8">
        <v>16.8</v>
      </c>
      <c r="D8">
        <v>1.8</v>
      </c>
      <c r="E8" s="2">
        <f t="shared" si="11"/>
        <v>0.5</v>
      </c>
      <c r="F8">
        <v>3.37</v>
      </c>
      <c r="I8">
        <f>822.6-474.9</f>
        <v>347.70000000000005</v>
      </c>
      <c r="J8">
        <f>797.9-451.9</f>
        <v>346</v>
      </c>
      <c r="K8" s="3">
        <f t="shared" ref="K8:K12" si="12">J8/B8</f>
        <v>192.22222222222223</v>
      </c>
      <c r="L8" s="3">
        <f t="shared" si="0"/>
        <v>1.7000000000000455</v>
      </c>
      <c r="M8" s="3">
        <f t="shared" ref="M8:M12" si="13">M7+L8</f>
        <v>12.480000000000018</v>
      </c>
      <c r="N8" s="3">
        <f t="shared" si="5"/>
        <v>0.86478873239436604</v>
      </c>
      <c r="O8" s="25">
        <f t="shared" si="1"/>
        <v>3.0000000000000004E-8</v>
      </c>
      <c r="P8" s="25">
        <f t="shared" si="2"/>
        <v>3.0000000000000004E-8</v>
      </c>
      <c r="Q8" s="3">
        <f t="shared" si="3"/>
        <v>23235.476000000002</v>
      </c>
      <c r="R8" s="3">
        <f t="shared" si="3"/>
        <v>0</v>
      </c>
      <c r="S8" s="3">
        <f t="shared" si="3"/>
        <v>0</v>
      </c>
      <c r="T8" s="24">
        <f>(O8*'Core Parameters'!$B$10*'Core Parameters'!$D$5)/(Q8*'Core Parameters'!$D$6)</f>
        <v>1.4152353488319534E-13</v>
      </c>
      <c r="U8" s="23">
        <f t="shared" ref="U8:U12" si="14">T8*1013000000000*1000</f>
        <v>143.36334083667688</v>
      </c>
      <c r="V8" s="24" t="e">
        <f>(O8*'Core Parameters'!$B$10*'Core Parameters'!$D$5)/(R8*'Core Parameters'!$D$6)</f>
        <v>#DIV/0!</v>
      </c>
      <c r="W8" s="23" t="e">
        <f t="shared" ref="W8:W12" si="15">V8*1013000000000*1000</f>
        <v>#DIV/0!</v>
      </c>
      <c r="X8" s="24" t="e">
        <f>(O8*'Core Parameters'!$B$10*'Core Parameters'!$D$5)/(S8*'Core Parameters'!$D$6)</f>
        <v>#DIV/0!</v>
      </c>
      <c r="Y8" s="23" t="e">
        <f t="shared" si="7"/>
        <v>#DIV/0!</v>
      </c>
      <c r="Z8" s="24">
        <f>(P8*'Core Parameters'!$B$11*'Core Parameters'!$D$5)/(Q8*'Core Parameters'!$D$6)</f>
        <v>1.1505978445788242E-15</v>
      </c>
      <c r="AA8" s="23">
        <f t="shared" ref="AA8:AA11" si="16">Z8*1013000000000*1000</f>
        <v>1.1655556165583489</v>
      </c>
      <c r="AB8" s="24" t="e">
        <f>(P8*'Core Parameters'!$B$11*'Core Parameters'!$D$5)/(R8*'Core Parameters'!$D$6)</f>
        <v>#DIV/0!</v>
      </c>
      <c r="AC8" s="23" t="e">
        <f t="shared" ref="AC8:AC11" si="17">AB8*1013000000000*1000</f>
        <v>#DIV/0!</v>
      </c>
      <c r="AD8" s="24" t="e">
        <f>(P8*'Core Parameters'!$B$11*'Core Parameters'!$D$5)/(S8*'Core Parameters'!$D$6)</f>
        <v>#DIV/0!</v>
      </c>
      <c r="AE8" s="23" t="e">
        <f t="shared" ref="AE8:AE11" si="18">AD8*1013000000000*1000</f>
        <v>#DIV/0!</v>
      </c>
    </row>
    <row r="9" spans="1:31" x14ac:dyDescent="0.25">
      <c r="A9">
        <v>0.25</v>
      </c>
      <c r="B9">
        <v>1</v>
      </c>
      <c r="C9">
        <v>33.6</v>
      </c>
      <c r="D9">
        <v>4</v>
      </c>
      <c r="E9" s="2">
        <f t="shared" si="11"/>
        <v>0.2</v>
      </c>
      <c r="F9">
        <v>2.96</v>
      </c>
      <c r="I9">
        <f>1714.8-823</f>
        <v>891.8</v>
      </c>
      <c r="J9">
        <f>1681-798.7</f>
        <v>882.3</v>
      </c>
      <c r="K9" s="3">
        <f t="shared" si="12"/>
        <v>882.3</v>
      </c>
      <c r="L9" s="3">
        <f t="shared" si="0"/>
        <v>9.5</v>
      </c>
      <c r="M9" s="3">
        <f t="shared" si="13"/>
        <v>21.980000000000018</v>
      </c>
      <c r="N9" s="3">
        <f t="shared" si="5"/>
        <v>0.76186348862405184</v>
      </c>
      <c r="O9" s="25">
        <f t="shared" si="1"/>
        <v>1.6666666666666667E-8</v>
      </c>
      <c r="P9" s="25">
        <f t="shared" si="2"/>
        <v>6.6666666666666668E-8</v>
      </c>
      <c r="Q9" s="3">
        <f t="shared" si="3"/>
        <v>20408.608</v>
      </c>
      <c r="R9" s="3">
        <f t="shared" si="3"/>
        <v>0</v>
      </c>
      <c r="S9" s="3">
        <f t="shared" si="3"/>
        <v>0</v>
      </c>
      <c r="T9" s="24">
        <f>(O9*'Core Parameters'!$B$10*'Core Parameters'!$D$5)/(Q9*'Core Parameters'!$D$6)</f>
        <v>8.9514698302621686E-14</v>
      </c>
      <c r="U9" s="23">
        <f t="shared" si="14"/>
        <v>90.678389380555771</v>
      </c>
      <c r="V9" s="24" t="e">
        <f>(O9*'Core Parameters'!$B$10*'Core Parameters'!$D$5)/(R9*'Core Parameters'!$D$6)</f>
        <v>#DIV/0!</v>
      </c>
      <c r="W9" s="23" t="e">
        <f t="shared" si="15"/>
        <v>#DIV/0!</v>
      </c>
      <c r="X9" s="24" t="e">
        <f>(O9*'Core Parameters'!$B$10*'Core Parameters'!$D$5)/(S9*'Core Parameters'!$D$6)</f>
        <v>#DIV/0!</v>
      </c>
      <c r="Y9" s="23" t="e">
        <f t="shared" si="7"/>
        <v>#DIV/0!</v>
      </c>
      <c r="Z9" s="24">
        <f>(P9*'Core Parameters'!$B$11*'Core Parameters'!$D$5)/(Q9*'Core Parameters'!$D$6)</f>
        <v>2.9110470992722501E-15</v>
      </c>
      <c r="AA9" s="23">
        <f t="shared" si="16"/>
        <v>2.9488907115627896</v>
      </c>
      <c r="AB9" s="24" t="e">
        <f>(P9*'Core Parameters'!$B$11*'Core Parameters'!$D$5)/(R9*'Core Parameters'!$D$6)</f>
        <v>#DIV/0!</v>
      </c>
      <c r="AC9" s="23" t="e">
        <f t="shared" si="17"/>
        <v>#DIV/0!</v>
      </c>
      <c r="AD9" s="24" t="e">
        <f>(P9*'Core Parameters'!$B$11*'Core Parameters'!$D$5)/(S9*'Core Parameters'!$D$6)</f>
        <v>#DIV/0!</v>
      </c>
      <c r="AE9" s="23" t="e">
        <f t="shared" si="18"/>
        <v>#DIV/0!</v>
      </c>
    </row>
    <row r="10" spans="1:31" x14ac:dyDescent="0.25">
      <c r="A10">
        <v>0.1</v>
      </c>
      <c r="B10">
        <v>0.5</v>
      </c>
      <c r="C10">
        <v>47.34</v>
      </c>
      <c r="D10">
        <v>5.4</v>
      </c>
      <c r="E10" s="2">
        <f t="shared" si="11"/>
        <v>8.4745762711864403E-2</v>
      </c>
      <c r="F10">
        <v>2.1</v>
      </c>
      <c r="I10">
        <f>-1714.9+2504.5</f>
        <v>789.59999999999991</v>
      </c>
      <c r="J10">
        <f>2469-1681.7</f>
        <v>787.3</v>
      </c>
      <c r="K10" s="3">
        <f t="shared" si="12"/>
        <v>1574.6</v>
      </c>
      <c r="L10" s="3">
        <f t="shared" si="0"/>
        <v>2.2999999999999545</v>
      </c>
      <c r="M10" s="3">
        <f t="shared" si="13"/>
        <v>24.279999999999973</v>
      </c>
      <c r="N10" s="3">
        <f t="shared" si="5"/>
        <v>0.73694474539544996</v>
      </c>
      <c r="O10" s="25">
        <f t="shared" si="1"/>
        <v>8.3333333333333335E-9</v>
      </c>
      <c r="P10" s="25">
        <f t="shared" si="2"/>
        <v>8.9999999999999999E-8</v>
      </c>
      <c r="Q10" s="3">
        <f t="shared" si="3"/>
        <v>14479.080000000002</v>
      </c>
      <c r="R10" s="3">
        <f t="shared" si="3"/>
        <v>0</v>
      </c>
      <c r="S10" s="3">
        <f t="shared" si="3"/>
        <v>0</v>
      </c>
      <c r="T10" s="24">
        <f>(O10*'Core Parameters'!$B$10*'Core Parameters'!$D$5)/(Q10*'Core Parameters'!$D$6)</f>
        <v>6.3086549279942889E-14</v>
      </c>
      <c r="U10" s="23">
        <f t="shared" si="14"/>
        <v>63.906674420582149</v>
      </c>
      <c r="V10" s="24" t="e">
        <f>(O10*'Core Parameters'!$B$10*'Core Parameters'!$D$5)/(R10*'Core Parameters'!$D$6)</f>
        <v>#DIV/0!</v>
      </c>
      <c r="W10" s="23" t="e">
        <f t="shared" si="15"/>
        <v>#DIV/0!</v>
      </c>
      <c r="X10" s="24" t="e">
        <f>(O10*'Core Parameters'!$B$10*'Core Parameters'!$D$5)/(S10*'Core Parameters'!$D$6)</f>
        <v>#DIV/0!</v>
      </c>
      <c r="Y10" s="23" t="e">
        <f t="shared" si="7"/>
        <v>#DIV/0!</v>
      </c>
      <c r="Z10" s="24">
        <f>(P10*'Core Parameters'!$B$11*'Core Parameters'!$D$5)/(Q10*'Core Parameters'!$D$6)</f>
        <v>5.5393067660437674E-15</v>
      </c>
      <c r="AA10" s="23">
        <f t="shared" si="16"/>
        <v>5.6113177540023367</v>
      </c>
      <c r="AB10" s="24" t="e">
        <f>(P10*'Core Parameters'!$B$11*'Core Parameters'!$D$5)/(R10*'Core Parameters'!$D$6)</f>
        <v>#DIV/0!</v>
      </c>
      <c r="AC10" s="23" t="e">
        <f t="shared" si="17"/>
        <v>#DIV/0!</v>
      </c>
      <c r="AD10" s="24" t="e">
        <f>(P10*'Core Parameters'!$B$11*'Core Parameters'!$D$5)/(S10*'Core Parameters'!$D$6)</f>
        <v>#DIV/0!</v>
      </c>
      <c r="AE10" s="23" t="e">
        <f t="shared" si="18"/>
        <v>#DIV/0!</v>
      </c>
    </row>
    <row r="11" spans="1:31" x14ac:dyDescent="0.25">
      <c r="A11">
        <v>0.01</v>
      </c>
      <c r="B11">
        <v>0.1</v>
      </c>
      <c r="C11">
        <v>50</v>
      </c>
      <c r="D11">
        <v>5.68</v>
      </c>
      <c r="E11" s="1">
        <f t="shared" si="11"/>
        <v>1.7301038062283738E-2</v>
      </c>
      <c r="F11">
        <v>2.7</v>
      </c>
      <c r="I11">
        <f>2669.6-2504.5</f>
        <v>165.09999999999991</v>
      </c>
      <c r="J11">
        <f>2628.8-2469.2</f>
        <v>159.60000000000036</v>
      </c>
      <c r="K11" s="3">
        <f t="shared" si="12"/>
        <v>1596.0000000000036</v>
      </c>
      <c r="L11" s="3">
        <f>I11-J11</f>
        <v>5.4999999999995453</v>
      </c>
      <c r="M11" s="3">
        <f t="shared" si="13"/>
        <v>29.779999999999518</v>
      </c>
      <c r="N11" s="3">
        <f t="shared" si="5"/>
        <v>0.67735644637053605</v>
      </c>
      <c r="O11" s="25">
        <f t="shared" si="1"/>
        <v>1.6666666666666669E-9</v>
      </c>
      <c r="P11" s="25">
        <f t="shared" si="2"/>
        <v>9.4666666666666667E-8</v>
      </c>
      <c r="Q11" s="3">
        <f t="shared" si="3"/>
        <v>18615.960000000003</v>
      </c>
      <c r="R11" s="3">
        <f t="shared" si="3"/>
        <v>0</v>
      </c>
      <c r="S11" s="3">
        <f t="shared" si="3"/>
        <v>0</v>
      </c>
      <c r="T11" s="24">
        <f>(O11*'Core Parameters'!$B$10*'Core Parameters'!$D$5)/(Q11*'Core Parameters'!$D$6)</f>
        <v>9.813463221324451E-15</v>
      </c>
      <c r="U11" s="23">
        <f t="shared" si="14"/>
        <v>9.9410382432016675</v>
      </c>
      <c r="V11" s="24" t="e">
        <f>(O11*'Core Parameters'!$B$10*'Core Parameters'!$D$5)/(R11*'Core Parameters'!$D$6)</f>
        <v>#DIV/0!</v>
      </c>
      <c r="W11" s="23" t="e">
        <f t="shared" si="15"/>
        <v>#DIV/0!</v>
      </c>
      <c r="X11" s="24" t="e">
        <f>(O11*'Core Parameters'!$B$10*'Core Parameters'!$D$5)/(S11*'Core Parameters'!$D$6)</f>
        <v>#DIV/0!</v>
      </c>
      <c r="Y11" s="23" t="e">
        <f t="shared" si="7"/>
        <v>#DIV/0!</v>
      </c>
      <c r="Z11" s="24">
        <f>(P11*'Core Parameters'!$B$11*'Core Parameters'!$D$5)/(Q11*'Core Parameters'!$D$6)</f>
        <v>4.5317456176522666E-15</v>
      </c>
      <c r="AA11" s="23">
        <f t="shared" si="16"/>
        <v>4.5906583106817465</v>
      </c>
      <c r="AB11" s="24" t="e">
        <f>(P11*'Core Parameters'!$B$11*'Core Parameters'!$D$5)/(R11*'Core Parameters'!$D$6)</f>
        <v>#DIV/0!</v>
      </c>
      <c r="AC11" s="23" t="e">
        <f t="shared" si="17"/>
        <v>#DIV/0!</v>
      </c>
      <c r="AD11" s="24" t="e">
        <f>(P11*'Core Parameters'!$B$11*'Core Parameters'!$D$5)/(S11*'Core Parameters'!$D$6)</f>
        <v>#DIV/0!</v>
      </c>
      <c r="AE11" s="23" t="e">
        <f t="shared" si="18"/>
        <v>#DIV/0!</v>
      </c>
    </row>
    <row r="12" spans="1:31" x14ac:dyDescent="0.25">
      <c r="A12">
        <v>0</v>
      </c>
      <c r="B12">
        <v>0</v>
      </c>
      <c r="C12">
        <v>50</v>
      </c>
      <c r="D12">
        <v>5.68</v>
      </c>
      <c r="E12" s="2">
        <f t="shared" si="11"/>
        <v>0</v>
      </c>
      <c r="F12">
        <v>2</v>
      </c>
      <c r="I12">
        <v>10</v>
      </c>
      <c r="J12">
        <v>0</v>
      </c>
      <c r="K12" s="3" t="e">
        <f t="shared" si="12"/>
        <v>#DIV/0!</v>
      </c>
      <c r="L12" s="3">
        <f t="shared" si="0"/>
        <v>10</v>
      </c>
      <c r="M12" s="3">
        <f t="shared" si="13"/>
        <v>39.779999999999518</v>
      </c>
      <c r="N12" s="3">
        <f t="shared" si="5"/>
        <v>0.56901408450704749</v>
      </c>
      <c r="O12" s="25">
        <f t="shared" si="1"/>
        <v>0</v>
      </c>
      <c r="P12" s="25">
        <f t="shared" si="2"/>
        <v>9.4666666666666667E-8</v>
      </c>
      <c r="Q12" s="3">
        <f t="shared" si="3"/>
        <v>13789.6</v>
      </c>
      <c r="R12" s="3">
        <f>G12*6894.8</f>
        <v>0</v>
      </c>
      <c r="S12" s="3">
        <f t="shared" si="3"/>
        <v>0</v>
      </c>
      <c r="T12" s="24">
        <f>(O12*'Core Parameters'!$B$10*'Core Parameters'!$D$5)/(Q12*'Core Parameters'!$D$6)</f>
        <v>0</v>
      </c>
      <c r="U12" s="23">
        <f t="shared" si="14"/>
        <v>0</v>
      </c>
      <c r="V12" s="24" t="e">
        <f>(O12*'Core Parameters'!$B$10*'Core Parameters'!$D$5)/(R12*'Core Parameters'!$D$6)</f>
        <v>#DIV/0!</v>
      </c>
      <c r="W12" s="23" t="e">
        <f t="shared" si="15"/>
        <v>#DIV/0!</v>
      </c>
      <c r="X12" s="24" t="e">
        <f>(O12*'Core Parameters'!$B$10*'Core Parameters'!$D$5)/(S12*'Core Parameters'!$D$6)</f>
        <v>#DIV/0!</v>
      </c>
      <c r="Y12" s="23" t="e">
        <f t="shared" si="7"/>
        <v>#DIV/0!</v>
      </c>
      <c r="Z12" s="24">
        <f>(P12*'Core Parameters'!$B$11*'Core Parameters'!$D$5)/(Q12*'Core Parameters'!$D$6)</f>
        <v>6.1178565838305612E-15</v>
      </c>
      <c r="AA12" s="23">
        <f>Z12*1013000000000*1000</f>
        <v>6.1973887194203581</v>
      </c>
      <c r="AB12" s="24" t="e">
        <f>(P12*'Core Parameters'!$B$11*'Core Parameters'!$D$5)/(R12*'Core Parameters'!$D$6)</f>
        <v>#DIV/0!</v>
      </c>
      <c r="AC12" s="23" t="e">
        <f>AB12*1013000000000*1000</f>
        <v>#DIV/0!</v>
      </c>
      <c r="AD12" s="24" t="e">
        <f>(P12*'Core Parameters'!$B$11*'Core Parameters'!$D$5)/(S12*'Core Parameters'!$D$6)</f>
        <v>#DIV/0!</v>
      </c>
      <c r="AE12" s="23" t="e">
        <f>AD12*1013000000000*1000</f>
        <v>#DIV/0!</v>
      </c>
    </row>
    <row r="13" spans="1:31" x14ac:dyDescent="0.25">
      <c r="H13" s="6"/>
      <c r="K13" t="s">
        <v>140</v>
      </c>
      <c r="L13" s="3">
        <f>SUM(L7:L12)</f>
        <v>39.779999999999518</v>
      </c>
      <c r="M13" s="3"/>
      <c r="AC13" s="3"/>
    </row>
    <row r="14" spans="1:31" x14ac:dyDescent="0.25">
      <c r="M14" t="s">
        <v>128</v>
      </c>
      <c r="N14" s="3">
        <v>0.1</v>
      </c>
    </row>
    <row r="16" spans="1:31" x14ac:dyDescent="0.25">
      <c r="A16" s="35" t="s">
        <v>139</v>
      </c>
      <c r="B16" s="35"/>
      <c r="C16" s="35" t="s">
        <v>133</v>
      </c>
      <c r="D16" s="35"/>
      <c r="E16" s="35" t="s">
        <v>135</v>
      </c>
      <c r="F16" s="35"/>
      <c r="G16" s="35" t="s">
        <v>136</v>
      </c>
      <c r="H16" s="35"/>
    </row>
    <row r="17" spans="1:14" x14ac:dyDescent="0.25">
      <c r="A17" s="30" t="s">
        <v>11</v>
      </c>
      <c r="B17" s="30" t="s">
        <v>134</v>
      </c>
      <c r="C17" s="27" t="s">
        <v>102</v>
      </c>
      <c r="D17" s="28" t="s">
        <v>103</v>
      </c>
      <c r="E17" s="27" t="s">
        <v>102</v>
      </c>
      <c r="F17" s="28" t="s">
        <v>103</v>
      </c>
      <c r="G17" s="27" t="s">
        <v>102</v>
      </c>
      <c r="H17" s="28" t="s">
        <v>103</v>
      </c>
    </row>
    <row r="18" spans="1:14" x14ac:dyDescent="0.25">
      <c r="A18">
        <f t="shared" ref="A18:A26" si="19">N4</f>
        <v>1</v>
      </c>
      <c r="B18">
        <f>1-A18</f>
        <v>0</v>
      </c>
      <c r="C18" s="2">
        <f t="shared" ref="C18:C26" si="20">U4/$U$4</f>
        <v>1</v>
      </c>
      <c r="D18" s="2">
        <f>AA4/$U$4</f>
        <v>0</v>
      </c>
      <c r="E18" s="23">
        <f>W4/$W$4</f>
        <v>1</v>
      </c>
      <c r="F18" s="23">
        <f>AC4/$W$4</f>
        <v>0</v>
      </c>
      <c r="G18" s="23">
        <f>Y4/$Y$4</f>
        <v>1</v>
      </c>
      <c r="H18" s="23">
        <f>AE4/$Y$4</f>
        <v>0</v>
      </c>
    </row>
    <row r="19" spans="1:14" x14ac:dyDescent="0.25">
      <c r="A19" s="3">
        <f t="shared" si="19"/>
        <v>1</v>
      </c>
      <c r="B19" s="3">
        <f t="shared" ref="B19:B26" si="21">1-A19</f>
        <v>0</v>
      </c>
      <c r="C19" s="2">
        <f t="shared" si="20"/>
        <v>1.0176991150442478</v>
      </c>
      <c r="D19" s="2">
        <f t="shared" ref="D19:D26" si="22">AA5/$U$4</f>
        <v>0</v>
      </c>
      <c r="E19" s="23">
        <f t="shared" ref="E19:E26" si="23">W5/$W$4</f>
        <v>1.0237288135593221</v>
      </c>
      <c r="F19" s="23">
        <f t="shared" ref="F19:F26" si="24">AC5/$W$4</f>
        <v>0</v>
      </c>
      <c r="G19" s="23">
        <f>Y5/$Y$4</f>
        <v>0.98039215686274517</v>
      </c>
      <c r="H19" s="23">
        <f t="shared" ref="H19:H26" si="25">AE5/$Y$4</f>
        <v>0</v>
      </c>
    </row>
    <row r="20" spans="1:14" x14ac:dyDescent="0.25">
      <c r="A20" s="3">
        <f t="shared" si="19"/>
        <v>1</v>
      </c>
      <c r="B20" s="3">
        <f t="shared" si="21"/>
        <v>0</v>
      </c>
      <c r="C20" s="2">
        <f t="shared" si="20"/>
        <v>1.0207100591715978</v>
      </c>
      <c r="D20" s="2">
        <f t="shared" si="22"/>
        <v>0</v>
      </c>
      <c r="E20" s="23">
        <f t="shared" si="23"/>
        <v>1.0295454545454545</v>
      </c>
      <c r="F20" s="23">
        <f t="shared" si="24"/>
        <v>0</v>
      </c>
      <c r="G20" s="23">
        <f t="shared" ref="G20:G26" si="26">Y6/$Y$4</f>
        <v>0.98360655737704938</v>
      </c>
      <c r="H20" s="23">
        <f t="shared" si="25"/>
        <v>0</v>
      </c>
    </row>
    <row r="21" spans="1:14" x14ac:dyDescent="0.25">
      <c r="A21" s="3">
        <f t="shared" si="19"/>
        <v>0.88320693391115956</v>
      </c>
      <c r="B21" s="3">
        <f t="shared" si="21"/>
        <v>0.11679306608884044</v>
      </c>
      <c r="C21" s="2">
        <f t="shared" si="20"/>
        <v>0.67647058823529427</v>
      </c>
      <c r="D21" s="2">
        <f t="shared" si="22"/>
        <v>2.7498804399808704E-3</v>
      </c>
      <c r="E21" s="23" t="e">
        <f>W7/$W$4</f>
        <v>#DIV/0!</v>
      </c>
      <c r="F21" s="23" t="e">
        <f t="shared" si="24"/>
        <v>#DIV/0!</v>
      </c>
      <c r="G21" s="23" t="e">
        <f t="shared" si="26"/>
        <v>#DIV/0!</v>
      </c>
      <c r="H21" s="23" t="e">
        <f t="shared" si="25"/>
        <v>#DIV/0!</v>
      </c>
      <c r="L21" s="31" t="s">
        <v>121</v>
      </c>
      <c r="M21" s="31">
        <v>92.3</v>
      </c>
    </row>
    <row r="22" spans="1:14" x14ac:dyDescent="0.25">
      <c r="A22" s="3">
        <f t="shared" si="19"/>
        <v>0.86478873239436604</v>
      </c>
      <c r="B22" s="3">
        <f t="shared" si="21"/>
        <v>0.13521126760563396</v>
      </c>
      <c r="C22" s="2">
        <f t="shared" si="20"/>
        <v>0.61424332344213639</v>
      </c>
      <c r="D22" s="2">
        <f t="shared" si="22"/>
        <v>4.9938481580661508E-3</v>
      </c>
      <c r="E22" s="23" t="e">
        <f t="shared" si="23"/>
        <v>#DIV/0!</v>
      </c>
      <c r="F22" s="23" t="e">
        <f t="shared" si="24"/>
        <v>#DIV/0!</v>
      </c>
      <c r="G22" s="23" t="e">
        <f t="shared" si="26"/>
        <v>#DIV/0!</v>
      </c>
      <c r="H22" s="23" t="e">
        <f t="shared" si="25"/>
        <v>#DIV/0!</v>
      </c>
      <c r="L22" s="3" t="s">
        <v>128</v>
      </c>
      <c r="M22">
        <f>M21-L13</f>
        <v>52.520000000000479</v>
      </c>
      <c r="N22" s="3">
        <f>M22/M21</f>
        <v>0.56901408450704749</v>
      </c>
    </row>
    <row r="23" spans="1:14" x14ac:dyDescent="0.25">
      <c r="A23" s="3">
        <f t="shared" si="19"/>
        <v>0.76186348862405184</v>
      </c>
      <c r="B23" s="3">
        <f t="shared" si="21"/>
        <v>0.23813651137594816</v>
      </c>
      <c r="C23" s="2">
        <f t="shared" si="20"/>
        <v>0.38851351351351354</v>
      </c>
      <c r="D23" s="2">
        <f t="shared" si="22"/>
        <v>1.2634585805317514E-2</v>
      </c>
      <c r="E23" s="23" t="e">
        <f t="shared" si="23"/>
        <v>#DIV/0!</v>
      </c>
      <c r="F23" s="23" t="e">
        <f t="shared" si="24"/>
        <v>#DIV/0!</v>
      </c>
      <c r="G23" s="23" t="e">
        <f t="shared" si="26"/>
        <v>#DIV/0!</v>
      </c>
      <c r="H23" s="23" t="e">
        <f t="shared" si="25"/>
        <v>#DIV/0!</v>
      </c>
    </row>
    <row r="24" spans="1:14" x14ac:dyDescent="0.25">
      <c r="A24" s="3">
        <f t="shared" si="19"/>
        <v>0.73694474539544996</v>
      </c>
      <c r="B24" s="3">
        <f t="shared" si="21"/>
        <v>0.26305525460455004</v>
      </c>
      <c r="C24" s="2">
        <f t="shared" si="20"/>
        <v>0.27380952380952378</v>
      </c>
      <c r="D24" s="2">
        <f t="shared" si="22"/>
        <v>2.4041811846689898E-2</v>
      </c>
      <c r="E24" s="23" t="e">
        <f t="shared" si="23"/>
        <v>#DIV/0!</v>
      </c>
      <c r="F24" s="23" t="e">
        <f t="shared" si="24"/>
        <v>#DIV/0!</v>
      </c>
      <c r="G24" s="23" t="e">
        <f t="shared" si="26"/>
        <v>#DIV/0!</v>
      </c>
      <c r="H24" s="23" t="e">
        <f t="shared" si="25"/>
        <v>#DIV/0!</v>
      </c>
    </row>
    <row r="25" spans="1:14" x14ac:dyDescent="0.25">
      <c r="A25" s="3">
        <f t="shared" si="19"/>
        <v>0.67735644637053605</v>
      </c>
      <c r="B25" s="3">
        <f t="shared" si="21"/>
        <v>0.32264355362946395</v>
      </c>
      <c r="C25" s="2">
        <f t="shared" si="20"/>
        <v>4.2592592592592585E-2</v>
      </c>
      <c r="D25" s="2">
        <f t="shared" si="22"/>
        <v>1.9668774465522433E-2</v>
      </c>
      <c r="E25" s="23" t="e">
        <f t="shared" si="23"/>
        <v>#DIV/0!</v>
      </c>
      <c r="F25" s="23" t="e">
        <f t="shared" si="24"/>
        <v>#DIV/0!</v>
      </c>
      <c r="G25" s="23" t="e">
        <f t="shared" si="26"/>
        <v>#DIV/0!</v>
      </c>
      <c r="H25" s="23" t="e">
        <f t="shared" si="25"/>
        <v>#DIV/0!</v>
      </c>
    </row>
    <row r="26" spans="1:14" x14ac:dyDescent="0.25">
      <c r="A26" s="3">
        <f t="shared" si="19"/>
        <v>0.56901408450704749</v>
      </c>
      <c r="B26" s="3">
        <f t="shared" si="21"/>
        <v>0.43098591549295251</v>
      </c>
      <c r="C26" s="2">
        <f t="shared" si="20"/>
        <v>0</v>
      </c>
      <c r="D26" s="2">
        <f t="shared" si="22"/>
        <v>2.6552845528455285E-2</v>
      </c>
      <c r="E26" s="23" t="e">
        <f t="shared" si="23"/>
        <v>#DIV/0!</v>
      </c>
      <c r="F26" s="23" t="e">
        <f t="shared" si="24"/>
        <v>#DIV/0!</v>
      </c>
      <c r="G26" s="23" t="e">
        <f t="shared" si="26"/>
        <v>#DIV/0!</v>
      </c>
      <c r="H26" s="23" t="e">
        <f t="shared" si="25"/>
        <v>#DIV/0!</v>
      </c>
    </row>
    <row r="36" spans="1:6" x14ac:dyDescent="0.25">
      <c r="A36" s="36" t="s">
        <v>124</v>
      </c>
      <c r="B36" s="36"/>
      <c r="C36" s="36"/>
      <c r="D36" s="36"/>
      <c r="E36" s="36"/>
    </row>
    <row r="37" spans="1:6" x14ac:dyDescent="0.25">
      <c r="A37" s="6" t="s">
        <v>11</v>
      </c>
      <c r="B37" s="6" t="s">
        <v>102</v>
      </c>
      <c r="C37" s="6" t="s">
        <v>103</v>
      </c>
      <c r="D37" s="6" t="s">
        <v>106</v>
      </c>
      <c r="E37" s="6" t="s">
        <v>127</v>
      </c>
    </row>
    <row r="38" spans="1:6" x14ac:dyDescent="0.25">
      <c r="A38" s="3">
        <v>0</v>
      </c>
      <c r="B38" s="3">
        <f>((A38-$N$14)/(1-$N$14))^4</f>
        <v>1.5241579027587261E-4</v>
      </c>
      <c r="C38" s="3">
        <f>(((1-A38))/(1-$N$14))^2</f>
        <v>1.2345679012345681</v>
      </c>
      <c r="D38" s="3">
        <f>B38/(B38+C38/0.02)</f>
        <v>2.4691297058525783E-6</v>
      </c>
      <c r="E38" s="2">
        <f>1-D38</f>
        <v>0.99999753087029419</v>
      </c>
    </row>
    <row r="39" spans="1:6" x14ac:dyDescent="0.25">
      <c r="A39" s="3">
        <v>0.05</v>
      </c>
      <c r="B39" s="3">
        <f t="shared" ref="B39:B58" si="27">((A39-$N$14)/(1-$N$14))^4</f>
        <v>9.5259868922420382E-6</v>
      </c>
      <c r="C39" s="3">
        <f>(((1-A39))/(1-$N$14))^2</f>
        <v>1.1141975308641976</v>
      </c>
      <c r="D39" s="3">
        <f t="shared" ref="D39:D58" si="28">B39/(B39+C39/0.02)</f>
        <v>1.709927548659836E-7</v>
      </c>
      <c r="E39" s="2">
        <f>1-D39</f>
        <v>0.99999982900724516</v>
      </c>
    </row>
    <row r="40" spans="1:6" x14ac:dyDescent="0.25">
      <c r="A40" s="3">
        <v>0.1</v>
      </c>
      <c r="B40" s="3">
        <f t="shared" si="27"/>
        <v>0</v>
      </c>
      <c r="C40" s="3">
        <f t="shared" ref="C40:C58" si="29">(((1-A40))/(1-$N$14))^2</f>
        <v>1</v>
      </c>
      <c r="D40" s="3">
        <f t="shared" si="28"/>
        <v>0</v>
      </c>
      <c r="E40" s="2">
        <f t="shared" ref="E40:E58" si="30">1-D40</f>
        <v>1</v>
      </c>
    </row>
    <row r="41" spans="1:6" x14ac:dyDescent="0.25">
      <c r="A41" s="3">
        <v>0.15</v>
      </c>
      <c r="B41" s="3">
        <f t="shared" si="27"/>
        <v>9.5259868922420247E-6</v>
      </c>
      <c r="C41" s="3">
        <f t="shared" si="29"/>
        <v>0.89197530864197527</v>
      </c>
      <c r="D41" s="3">
        <f t="shared" si="28"/>
        <v>2.1359301687534323E-7</v>
      </c>
      <c r="E41" s="2">
        <f t="shared" si="30"/>
        <v>0.99999978640698317</v>
      </c>
    </row>
    <row r="42" spans="1:6" x14ac:dyDescent="0.25">
      <c r="A42" s="3">
        <v>0.2</v>
      </c>
      <c r="B42" s="3">
        <f t="shared" si="27"/>
        <v>1.5241579027587261E-4</v>
      </c>
      <c r="C42" s="3">
        <f t="shared" si="29"/>
        <v>0.79012345679012352</v>
      </c>
      <c r="D42" s="3">
        <f t="shared" si="28"/>
        <v>3.8580098070609303E-6</v>
      </c>
      <c r="E42" s="2">
        <f t="shared" si="30"/>
        <v>0.99999614199019293</v>
      </c>
    </row>
    <row r="43" spans="1:6" x14ac:dyDescent="0.25">
      <c r="A43" s="3">
        <v>0.25</v>
      </c>
      <c r="B43" s="3">
        <f t="shared" si="27"/>
        <v>7.716049382716049E-4</v>
      </c>
      <c r="C43" s="3">
        <f t="shared" si="29"/>
        <v>0.69444444444444431</v>
      </c>
      <c r="D43" s="3">
        <f t="shared" si="28"/>
        <v>2.2221728406035426E-5</v>
      </c>
      <c r="E43" s="2">
        <f t="shared" si="30"/>
        <v>0.99997777827159395</v>
      </c>
    </row>
    <row r="44" spans="1:6" x14ac:dyDescent="0.25">
      <c r="A44" s="3">
        <v>0.3</v>
      </c>
      <c r="B44" s="3">
        <f t="shared" si="27"/>
        <v>2.4386526444139609E-3</v>
      </c>
      <c r="C44" s="3">
        <f t="shared" si="29"/>
        <v>0.60493827160493807</v>
      </c>
      <c r="D44" s="3">
        <f t="shared" si="28"/>
        <v>8.0618342688420195E-5</v>
      </c>
      <c r="E44" s="2">
        <f t="shared" si="30"/>
        <v>0.99991938165731153</v>
      </c>
    </row>
    <row r="45" spans="1:6" x14ac:dyDescent="0.25">
      <c r="A45" s="3">
        <v>0.35</v>
      </c>
      <c r="B45" s="3">
        <f t="shared" si="27"/>
        <v>5.9537418076512699E-3</v>
      </c>
      <c r="C45" s="3">
        <f t="shared" si="29"/>
        <v>0.52160493827160492</v>
      </c>
      <c r="D45" s="3">
        <f t="shared" si="28"/>
        <v>2.2823338232743262E-4</v>
      </c>
      <c r="E45" s="2">
        <f t="shared" si="30"/>
        <v>0.99977176661767253</v>
      </c>
    </row>
    <row r="46" spans="1:6" x14ac:dyDescent="0.25">
      <c r="A46" s="3">
        <v>0.4</v>
      </c>
      <c r="B46" s="3">
        <f t="shared" si="27"/>
        <v>1.2345679012345684E-2</v>
      </c>
      <c r="C46" s="3">
        <f t="shared" si="29"/>
        <v>0.44444444444444442</v>
      </c>
      <c r="D46" s="3">
        <f t="shared" si="28"/>
        <v>5.5524708495280426E-4</v>
      </c>
      <c r="E46" s="2">
        <f t="shared" si="30"/>
        <v>0.9994447529150472</v>
      </c>
    </row>
    <row r="47" spans="1:6" x14ac:dyDescent="0.25">
      <c r="A47" s="3">
        <v>0.45</v>
      </c>
      <c r="B47" s="3">
        <f t="shared" si="27"/>
        <v>2.2871894528273113E-2</v>
      </c>
      <c r="C47" s="3">
        <f t="shared" si="29"/>
        <v>0.37345679012345684</v>
      </c>
      <c r="D47" s="3">
        <f t="shared" si="28"/>
        <v>1.2233765294117338E-3</v>
      </c>
      <c r="E47" s="2">
        <f t="shared" si="30"/>
        <v>0.99877662347058827</v>
      </c>
    </row>
    <row r="48" spans="1:6" x14ac:dyDescent="0.25">
      <c r="A48" s="3">
        <v>0.5</v>
      </c>
      <c r="B48" s="3">
        <f t="shared" si="27"/>
        <v>3.9018442310623389E-2</v>
      </c>
      <c r="C48" s="3">
        <f t="shared" si="29"/>
        <v>0.30864197530864201</v>
      </c>
      <c r="D48" s="3">
        <f t="shared" si="28"/>
        <v>2.5220184028530335E-3</v>
      </c>
      <c r="E48" s="2">
        <f t="shared" si="30"/>
        <v>0.99747798159714696</v>
      </c>
      <c r="F48" s="2"/>
    </row>
    <row r="49" spans="1:6" x14ac:dyDescent="0.25">
      <c r="A49" s="3">
        <v>0.55000000000000004</v>
      </c>
      <c r="B49" s="3">
        <f t="shared" si="27"/>
        <v>6.2500000000000056E-2</v>
      </c>
      <c r="C49" s="3">
        <f t="shared" si="29"/>
        <v>0.24999999999999994</v>
      </c>
      <c r="D49" s="3">
        <f t="shared" si="28"/>
        <v>4.9751243781094587E-3</v>
      </c>
      <c r="E49" s="2">
        <f t="shared" si="30"/>
        <v>0.99502487562189057</v>
      </c>
      <c r="F49" s="2"/>
    </row>
    <row r="50" spans="1:6" x14ac:dyDescent="0.25">
      <c r="A50" s="3">
        <v>0.6</v>
      </c>
      <c r="B50" s="3">
        <f t="shared" si="27"/>
        <v>9.5259868922420388E-2</v>
      </c>
      <c r="C50" s="3">
        <f t="shared" si="29"/>
        <v>0.19753086419753088</v>
      </c>
      <c r="D50" s="3">
        <f t="shared" si="28"/>
        <v>9.5529231944975167E-3</v>
      </c>
      <c r="E50" s="2">
        <f t="shared" si="30"/>
        <v>0.99044707680550248</v>
      </c>
    </row>
    <row r="51" spans="1:6" x14ac:dyDescent="0.25">
      <c r="A51" s="3">
        <v>0.65</v>
      </c>
      <c r="B51" s="3">
        <f t="shared" si="27"/>
        <v>0.13946997408931569</v>
      </c>
      <c r="C51" s="3">
        <f t="shared" si="29"/>
        <v>0.15123456790123452</v>
      </c>
      <c r="D51" s="3">
        <f t="shared" si="28"/>
        <v>1.8110165120274711E-2</v>
      </c>
      <c r="E51" s="2">
        <f t="shared" si="30"/>
        <v>0.98188983487972525</v>
      </c>
    </row>
    <row r="52" spans="1:6" x14ac:dyDescent="0.25">
      <c r="A52" s="3">
        <v>0.7</v>
      </c>
      <c r="B52" s="3">
        <f t="shared" si="27"/>
        <v>0.19753086419753085</v>
      </c>
      <c r="C52" s="3">
        <f t="shared" si="29"/>
        <v>0.11111111111111113</v>
      </c>
      <c r="D52" s="3">
        <f t="shared" si="28"/>
        <v>3.4334763948497847E-2</v>
      </c>
      <c r="E52" s="2">
        <f t="shared" si="30"/>
        <v>0.96566523605150212</v>
      </c>
    </row>
    <row r="53" spans="1:6" x14ac:dyDescent="0.25">
      <c r="A53" s="3">
        <v>0.75</v>
      </c>
      <c r="B53" s="3">
        <f t="shared" si="27"/>
        <v>0.27207171162932481</v>
      </c>
      <c r="C53" s="3">
        <f t="shared" si="29"/>
        <v>7.7160493827160503E-2</v>
      </c>
      <c r="D53" s="3">
        <f t="shared" si="28"/>
        <v>6.5875390083517657E-2</v>
      </c>
      <c r="E53" s="2">
        <f t="shared" si="30"/>
        <v>0.93412460991648238</v>
      </c>
    </row>
    <row r="54" spans="1:6" x14ac:dyDescent="0.25">
      <c r="A54" s="3">
        <v>0.8</v>
      </c>
      <c r="B54" s="3">
        <f t="shared" si="27"/>
        <v>0.36595031245237009</v>
      </c>
      <c r="C54" s="3">
        <f t="shared" si="29"/>
        <v>4.9382716049382686E-2</v>
      </c>
      <c r="D54" s="3">
        <f t="shared" si="28"/>
        <v>0.1290790817697974</v>
      </c>
      <c r="E54" s="2">
        <f t="shared" si="30"/>
        <v>0.87092091823020257</v>
      </c>
    </row>
    <row r="55" spans="1:6" x14ac:dyDescent="0.25">
      <c r="A55" s="3">
        <v>0.85</v>
      </c>
      <c r="B55" s="3">
        <f t="shared" si="27"/>
        <v>0.4822530864197529</v>
      </c>
      <c r="C55" s="3">
        <f t="shared" si="29"/>
        <v>2.7777777777777783E-2</v>
      </c>
      <c r="D55" s="3">
        <f t="shared" si="28"/>
        <v>0.25773195876288651</v>
      </c>
      <c r="E55" s="2">
        <f t="shared" si="30"/>
        <v>0.74226804123711343</v>
      </c>
    </row>
    <row r="56" spans="1:6" x14ac:dyDescent="0.25">
      <c r="A56" s="3">
        <v>0.9</v>
      </c>
      <c r="B56" s="3">
        <f t="shared" si="27"/>
        <v>0.62429507696997422</v>
      </c>
      <c r="C56" s="3">
        <f t="shared" si="29"/>
        <v>1.2345679012345671E-2</v>
      </c>
      <c r="D56" s="3">
        <f t="shared" si="28"/>
        <v>0.50282347164252417</v>
      </c>
      <c r="E56" s="2">
        <f t="shared" si="30"/>
        <v>0.49717652835747583</v>
      </c>
    </row>
    <row r="57" spans="1:6" x14ac:dyDescent="0.25">
      <c r="A57" s="3">
        <v>0.95</v>
      </c>
      <c r="B57" s="3">
        <f t="shared" si="27"/>
        <v>0.79561995122694706</v>
      </c>
      <c r="C57" s="3">
        <f t="shared" si="29"/>
        <v>3.0864197530864248E-3</v>
      </c>
      <c r="D57" s="3">
        <f t="shared" si="28"/>
        <v>0.83754675544769885</v>
      </c>
      <c r="E57" s="2">
        <f t="shared" si="30"/>
        <v>0.16245324455230115</v>
      </c>
    </row>
    <row r="58" spans="1:6" x14ac:dyDescent="0.25">
      <c r="A58" s="3">
        <v>1</v>
      </c>
      <c r="B58" s="3">
        <f t="shared" si="27"/>
        <v>1</v>
      </c>
      <c r="C58" s="3">
        <f t="shared" si="29"/>
        <v>0</v>
      </c>
      <c r="D58" s="3">
        <f t="shared" si="28"/>
        <v>1</v>
      </c>
      <c r="E58" s="2">
        <f t="shared" si="30"/>
        <v>0</v>
      </c>
    </row>
    <row r="59" spans="1:6" x14ac:dyDescent="0.25">
      <c r="C59" s="3"/>
      <c r="D59" s="3"/>
    </row>
  </sheetData>
  <mergeCells count="17">
    <mergeCell ref="O1:AE1"/>
    <mergeCell ref="A16:B16"/>
    <mergeCell ref="B2:D2"/>
    <mergeCell ref="F2:H2"/>
    <mergeCell ref="A1:N1"/>
    <mergeCell ref="O2:S2"/>
    <mergeCell ref="I2:N2"/>
    <mergeCell ref="C16:D16"/>
    <mergeCell ref="Z2:AA2"/>
    <mergeCell ref="T2:U2"/>
    <mergeCell ref="V2:W2"/>
    <mergeCell ref="X2:Y2"/>
    <mergeCell ref="E16:F16"/>
    <mergeCell ref="A36:E36"/>
    <mergeCell ref="G16:H16"/>
    <mergeCell ref="AB2:AC2"/>
    <mergeCell ref="AD2:AE2"/>
  </mergeCells>
  <pageMargins left="0.7" right="0.7" top="0.75" bottom="0.75" header="0.3" footer="0.3"/>
  <pageSetup paperSize="1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4785C-38E8-4BCA-82AA-A908E168589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1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DD56A-C8EC-4642-BDFD-C20A3977DE96}">
  <dimension ref="A1:O29"/>
  <sheetViews>
    <sheetView workbookViewId="0">
      <selection activeCell="B6" sqref="B5:B6"/>
    </sheetView>
  </sheetViews>
  <sheetFormatPr defaultRowHeight="15" x14ac:dyDescent="0.25"/>
  <cols>
    <col min="1" max="1" width="33.85546875" style="3" bestFit="1" customWidth="1"/>
    <col min="2" max="2" width="15.7109375" style="3" bestFit="1" customWidth="1"/>
    <col min="3" max="4" width="9.140625" style="3"/>
    <col min="5" max="5" width="13.5703125" style="3" bestFit="1" customWidth="1"/>
    <col min="6" max="6" width="15.7109375" style="3" bestFit="1" customWidth="1"/>
    <col min="7" max="8" width="9.140625" style="3"/>
    <col min="9" max="9" width="13.5703125" style="3" bestFit="1" customWidth="1"/>
    <col min="10" max="10" width="15.7109375" style="3" bestFit="1" customWidth="1"/>
    <col min="11" max="12" width="9.140625" style="3"/>
    <col min="13" max="13" width="13.5703125" style="3" bestFit="1" customWidth="1"/>
    <col min="14" max="14" width="15.7109375" style="3" bestFit="1" customWidth="1"/>
    <col min="15" max="16384" width="9.140625" style="3"/>
  </cols>
  <sheetData>
    <row r="1" spans="1:15" x14ac:dyDescent="0.25">
      <c r="A1" s="39" t="s">
        <v>56</v>
      </c>
      <c r="B1" s="39"/>
      <c r="C1" s="39"/>
    </row>
    <row r="2" spans="1:15" x14ac:dyDescent="0.25">
      <c r="A2" s="3" t="s">
        <v>57</v>
      </c>
      <c r="B2" s="3">
        <f>'[1]Packing Conditions'!C2</f>
        <v>637.08331346928389</v>
      </c>
      <c r="C2" s="3" t="s">
        <v>21</v>
      </c>
    </row>
    <row r="3" spans="1:15" x14ac:dyDescent="0.25">
      <c r="A3" s="3" t="s">
        <v>58</v>
      </c>
      <c r="B3" s="3">
        <f>'[1]Packing Conditions'!E2</f>
        <v>509.66665077542712</v>
      </c>
      <c r="C3" s="3" t="s">
        <v>21</v>
      </c>
      <c r="G3" s="39" t="s">
        <v>12</v>
      </c>
      <c r="H3" s="39"/>
      <c r="I3" s="39"/>
      <c r="J3" s="39"/>
      <c r="K3" s="39"/>
    </row>
    <row r="4" spans="1:15" x14ac:dyDescent="0.25">
      <c r="A4" s="3" t="s">
        <v>59</v>
      </c>
      <c r="B4" s="3">
        <f>'[1]Packing Conditions'!D2</f>
        <v>127.41666269385678</v>
      </c>
      <c r="C4" s="3" t="s">
        <v>21</v>
      </c>
      <c r="G4" s="42" t="s">
        <v>13</v>
      </c>
      <c r="H4" s="42"/>
      <c r="I4" s="42"/>
      <c r="J4" s="42"/>
      <c r="K4" s="42"/>
    </row>
    <row r="5" spans="1:15" x14ac:dyDescent="0.25">
      <c r="A5" s="3" t="s">
        <v>60</v>
      </c>
      <c r="B5" s="3">
        <f>0.4*B4</f>
        <v>50.966665077542714</v>
      </c>
      <c r="C5" s="3" t="s">
        <v>21</v>
      </c>
      <c r="G5" s="4" t="s">
        <v>14</v>
      </c>
      <c r="H5" s="3">
        <v>1.5</v>
      </c>
      <c r="I5" s="3" t="s">
        <v>15</v>
      </c>
      <c r="J5" s="3">
        <f>H5*2.54</f>
        <v>3.81</v>
      </c>
      <c r="K5" s="4" t="s">
        <v>16</v>
      </c>
    </row>
    <row r="6" spans="1:15" x14ac:dyDescent="0.25">
      <c r="A6" s="3" t="s">
        <v>61</v>
      </c>
      <c r="B6" s="3">
        <v>1</v>
      </c>
      <c r="C6" s="3" t="s">
        <v>62</v>
      </c>
      <c r="G6" s="5" t="s">
        <v>17</v>
      </c>
      <c r="H6" s="3">
        <f>H5/2</f>
        <v>0.75</v>
      </c>
      <c r="I6" s="3" t="s">
        <v>15</v>
      </c>
      <c r="J6" s="3">
        <f>J5/2</f>
        <v>1.905</v>
      </c>
      <c r="K6" s="5" t="s">
        <v>16</v>
      </c>
    </row>
    <row r="7" spans="1:15" x14ac:dyDescent="0.25">
      <c r="A7" s="3" t="s">
        <v>63</v>
      </c>
      <c r="B7" s="3">
        <v>7.2239999999999999E-2</v>
      </c>
      <c r="C7" s="3" t="s">
        <v>62</v>
      </c>
      <c r="G7" s="5" t="s">
        <v>18</v>
      </c>
      <c r="H7" s="3">
        <v>22</v>
      </c>
      <c r="I7" s="3" t="s">
        <v>15</v>
      </c>
      <c r="J7" s="3">
        <f>H7*2.54</f>
        <v>55.88</v>
      </c>
      <c r="K7" s="5" t="s">
        <v>16</v>
      </c>
    </row>
    <row r="8" spans="1:15" x14ac:dyDescent="0.25">
      <c r="A8" s="3" t="s">
        <v>64</v>
      </c>
      <c r="B8" s="3">
        <v>0.92500000000000004</v>
      </c>
      <c r="C8" s="3" t="s">
        <v>62</v>
      </c>
      <c r="G8" s="5" t="s">
        <v>19</v>
      </c>
      <c r="H8" s="3">
        <f>PI()*H6^2*H7</f>
        <v>38.877209088173693</v>
      </c>
      <c r="I8" s="3" t="s">
        <v>20</v>
      </c>
      <c r="J8" s="3">
        <f>J6^2*PI()*J7</f>
        <v>637.08331346928389</v>
      </c>
      <c r="K8" s="5" t="s">
        <v>21</v>
      </c>
      <c r="O8" s="4"/>
    </row>
    <row r="9" spans="1:15" x14ac:dyDescent="0.25">
      <c r="A9" s="3" t="s">
        <v>65</v>
      </c>
      <c r="B9" s="3">
        <v>119.5</v>
      </c>
      <c r="C9" s="3" t="s">
        <v>66</v>
      </c>
      <c r="G9" s="5" t="s">
        <v>11</v>
      </c>
      <c r="H9" s="3">
        <v>0.4</v>
      </c>
      <c r="O9" s="5"/>
    </row>
    <row r="10" spans="1:15" x14ac:dyDescent="0.25">
      <c r="A10" s="3" t="s">
        <v>67</v>
      </c>
      <c r="B10" s="3">
        <f>1/5.75</f>
        <v>0.17391304347826086</v>
      </c>
    </row>
    <row r="11" spans="1:15" x14ac:dyDescent="0.25">
      <c r="A11" s="39" t="s">
        <v>68</v>
      </c>
      <c r="B11" s="39"/>
      <c r="C11" s="39"/>
    </row>
    <row r="12" spans="1:15" x14ac:dyDescent="0.25">
      <c r="A12" s="3" t="s">
        <v>69</v>
      </c>
      <c r="B12" s="3">
        <f>B5*(1/(18.02))</f>
        <v>2.8283387945362217</v>
      </c>
      <c r="C12" s="3" t="s">
        <v>70</v>
      </c>
    </row>
    <row r="13" spans="1:15" x14ac:dyDescent="0.25">
      <c r="A13" s="3" t="s">
        <v>71</v>
      </c>
      <c r="B13" s="3">
        <f>B12/5.75</f>
        <v>0.49188500774542987</v>
      </c>
      <c r="C13" s="3" t="s">
        <v>70</v>
      </c>
    </row>
    <row r="14" spans="1:15" x14ac:dyDescent="0.25">
      <c r="A14" s="3" t="s">
        <v>72</v>
      </c>
      <c r="B14" s="3">
        <f>B13*16.04</f>
        <v>7.8898355242366947</v>
      </c>
      <c r="C14" s="3" t="s">
        <v>73</v>
      </c>
    </row>
    <row r="15" spans="1:15" x14ac:dyDescent="0.25">
      <c r="A15" s="3" t="s">
        <v>74</v>
      </c>
      <c r="B15" s="3">
        <f>B14/B7</f>
        <v>109.21699230670951</v>
      </c>
      <c r="C15" s="3" t="s">
        <v>75</v>
      </c>
    </row>
    <row r="16" spans="1:15" x14ac:dyDescent="0.25">
      <c r="A16" s="3" t="s">
        <v>76</v>
      </c>
      <c r="B16" s="3">
        <f>B13</f>
        <v>0.49188500774542987</v>
      </c>
      <c r="C16" s="3" t="s">
        <v>70</v>
      </c>
    </row>
    <row r="17" spans="1:3" x14ac:dyDescent="0.25">
      <c r="A17" s="3" t="s">
        <v>77</v>
      </c>
      <c r="B17" s="3">
        <f>B16*B9</f>
        <v>58.780258425578872</v>
      </c>
      <c r="C17" s="3" t="s">
        <v>73</v>
      </c>
    </row>
    <row r="18" spans="1:3" x14ac:dyDescent="0.25">
      <c r="A18" s="3" t="s">
        <v>78</v>
      </c>
      <c r="B18" s="3">
        <f>B17*(1/B8)</f>
        <v>63.546225324950122</v>
      </c>
      <c r="C18" s="3" t="s">
        <v>75</v>
      </c>
    </row>
    <row r="19" spans="1:3" x14ac:dyDescent="0.25">
      <c r="A19" s="6" t="s">
        <v>79</v>
      </c>
      <c r="B19" s="6">
        <f>B18/B4</f>
        <v>0.49872774864330138</v>
      </c>
    </row>
    <row r="20" spans="1:3" x14ac:dyDescent="0.25">
      <c r="A20" s="39" t="s">
        <v>80</v>
      </c>
      <c r="B20" s="39"/>
      <c r="C20" s="39"/>
    </row>
    <row r="21" spans="1:3" x14ac:dyDescent="0.25">
      <c r="A21" s="20" t="s">
        <v>81</v>
      </c>
      <c r="B21" s="21">
        <v>105.6</v>
      </c>
      <c r="C21" s="20" t="s">
        <v>75</v>
      </c>
    </row>
    <row r="22" spans="1:3" x14ac:dyDescent="0.25">
      <c r="A22" s="20" t="s">
        <v>82</v>
      </c>
      <c r="B22" s="21">
        <v>55</v>
      </c>
      <c r="C22" s="20" t="s">
        <v>75</v>
      </c>
    </row>
    <row r="23" spans="1:3" x14ac:dyDescent="0.25">
      <c r="A23" s="3" t="s">
        <v>83</v>
      </c>
      <c r="B23" s="19">
        <f>B21-B22</f>
        <v>50.599999999999994</v>
      </c>
      <c r="C23" s="3" t="s">
        <v>75</v>
      </c>
    </row>
    <row r="24" spans="1:3" x14ac:dyDescent="0.25">
      <c r="A24" s="3" t="s">
        <v>84</v>
      </c>
      <c r="B24" s="6">
        <f>B23/B15</f>
        <v>0.4632978708835172</v>
      </c>
    </row>
    <row r="25" spans="1:3" x14ac:dyDescent="0.25">
      <c r="A25" s="3" t="s">
        <v>85</v>
      </c>
      <c r="B25" s="3">
        <f>B24*B13</f>
        <v>0.22788927680798002</v>
      </c>
      <c r="C25" s="3" t="s">
        <v>70</v>
      </c>
    </row>
    <row r="26" spans="1:3" x14ac:dyDescent="0.25">
      <c r="A26" s="3" t="s">
        <v>76</v>
      </c>
      <c r="B26" s="3">
        <f>B25</f>
        <v>0.22788927680798002</v>
      </c>
      <c r="C26" s="3" t="s">
        <v>70</v>
      </c>
    </row>
    <row r="27" spans="1:3" x14ac:dyDescent="0.25">
      <c r="A27" s="3" t="s">
        <v>77</v>
      </c>
      <c r="B27" s="3">
        <f>B26*B9</f>
        <v>27.23276857855361</v>
      </c>
      <c r="C27" s="3" t="s">
        <v>73</v>
      </c>
    </row>
    <row r="28" spans="1:3" x14ac:dyDescent="0.25">
      <c r="A28" s="3" t="s">
        <v>78</v>
      </c>
      <c r="B28" s="3">
        <f>B27*(1/B8)</f>
        <v>29.44083089573363</v>
      </c>
    </row>
    <row r="29" spans="1:3" x14ac:dyDescent="0.25">
      <c r="A29" s="6" t="s">
        <v>86</v>
      </c>
      <c r="B29" s="6">
        <f>B28/B4</f>
        <v>0.23105950409697146</v>
      </c>
    </row>
  </sheetData>
  <mergeCells count="5">
    <mergeCell ref="A1:C1"/>
    <mergeCell ref="G3:K3"/>
    <mergeCell ref="G4:K4"/>
    <mergeCell ref="A11:C11"/>
    <mergeCell ref="A20:C20"/>
  </mergeCells>
  <pageMargins left="0.7" right="0.7" top="0.75" bottom="0.75" header="0.3" footer="0.3"/>
  <pageSetup paperSize="1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1467-6EC8-439A-921F-A3F4DE95FBC3}">
  <dimension ref="A1:V19"/>
  <sheetViews>
    <sheetView workbookViewId="0">
      <selection activeCell="B4" sqref="B4"/>
    </sheetView>
  </sheetViews>
  <sheetFormatPr defaultRowHeight="15" x14ac:dyDescent="0.25"/>
  <cols>
    <col min="1" max="16384" width="9.140625" style="3"/>
  </cols>
  <sheetData>
    <row r="1" spans="1:22" ht="15.75" x14ac:dyDescent="0.25">
      <c r="A1" s="10"/>
      <c r="B1" s="10"/>
      <c r="C1" s="10" t="s">
        <v>26</v>
      </c>
      <c r="D1" s="10"/>
      <c r="E1" s="10" t="s">
        <v>27</v>
      </c>
      <c r="F1" s="11"/>
      <c r="G1" s="11"/>
      <c r="J1" s="42" t="s">
        <v>28</v>
      </c>
      <c r="K1" s="42"/>
      <c r="L1" s="42"/>
      <c r="M1" s="42"/>
      <c r="N1" s="42"/>
      <c r="O1" s="42"/>
    </row>
    <row r="2" spans="1:22" ht="15.75" x14ac:dyDescent="0.25">
      <c r="A2" s="10" t="s">
        <v>29</v>
      </c>
      <c r="B2" s="12">
        <v>2.5</v>
      </c>
      <c r="C2" s="10" t="s">
        <v>30</v>
      </c>
      <c r="D2" s="13">
        <f>B2/100^3*1^2/60</f>
        <v>4.1666666666666669E-8</v>
      </c>
      <c r="E2" s="10" t="s">
        <v>31</v>
      </c>
      <c r="F2" s="14"/>
      <c r="G2" s="13" t="s">
        <v>32</v>
      </c>
      <c r="H2" s="15"/>
      <c r="I2" s="15"/>
      <c r="L2" s="42" t="s">
        <v>33</v>
      </c>
      <c r="M2" s="42"/>
    </row>
    <row r="3" spans="1:22" ht="15.75" x14ac:dyDescent="0.25">
      <c r="A3" s="10" t="s">
        <v>34</v>
      </c>
      <c r="B3" s="10"/>
      <c r="C3" s="10"/>
      <c r="D3" s="15">
        <f>(D2*D6*D7)/(D5*D4)</f>
        <v>2.6929408534787809E-13</v>
      </c>
      <c r="E3" s="10" t="s">
        <v>35</v>
      </c>
      <c r="F3" s="16"/>
      <c r="G3" s="13">
        <f>D3*1013000000000</f>
        <v>0.27279490845740051</v>
      </c>
      <c r="H3" s="15" t="s">
        <v>36</v>
      </c>
      <c r="I3" s="15"/>
      <c r="L3" s="43" t="s">
        <v>37</v>
      </c>
      <c r="M3" s="43"/>
      <c r="N3" s="42" t="s">
        <v>38</v>
      </c>
      <c r="O3" s="42"/>
    </row>
    <row r="4" spans="1:22" ht="15.75" x14ac:dyDescent="0.25">
      <c r="A4" s="10" t="s">
        <v>39</v>
      </c>
      <c r="B4" s="12">
        <v>1.7669999999999999</v>
      </c>
      <c r="C4" s="10" t="s">
        <v>40</v>
      </c>
      <c r="D4" s="13">
        <f>B4*2.54^2/100^2</f>
        <v>1.13999772E-3</v>
      </c>
      <c r="E4" s="10" t="s">
        <v>35</v>
      </c>
      <c r="F4" s="17"/>
      <c r="G4" s="13">
        <f>G3*1000</f>
        <v>272.79490845740048</v>
      </c>
      <c r="H4" s="15" t="s">
        <v>41</v>
      </c>
      <c r="I4" s="15"/>
      <c r="J4" s="3" t="s">
        <v>11</v>
      </c>
      <c r="K4" s="3" t="s">
        <v>0</v>
      </c>
      <c r="L4" s="3" t="s">
        <v>42</v>
      </c>
      <c r="M4" s="3" t="s">
        <v>43</v>
      </c>
      <c r="N4" s="42" t="s">
        <v>44</v>
      </c>
      <c r="O4" s="42"/>
    </row>
    <row r="5" spans="1:22" ht="15.75" x14ac:dyDescent="0.25">
      <c r="A5" s="10" t="s">
        <v>45</v>
      </c>
      <c r="B5" s="18">
        <v>2</v>
      </c>
      <c r="C5" s="10" t="s">
        <v>46</v>
      </c>
      <c r="D5" s="13">
        <f>B5*6894.8</f>
        <v>13789.6</v>
      </c>
      <c r="E5" s="10" t="s">
        <v>47</v>
      </c>
      <c r="F5" s="11"/>
      <c r="G5" s="10"/>
      <c r="H5" s="15"/>
      <c r="I5" s="15"/>
      <c r="J5" s="3">
        <v>1</v>
      </c>
      <c r="K5" s="3">
        <v>1.5</v>
      </c>
      <c r="L5" s="3">
        <f>M5/6894.8</f>
        <v>8.2999999999999989</v>
      </c>
      <c r="M5" s="3">
        <v>57226.84</v>
      </c>
      <c r="N5" s="3">
        <f>K5/100^3*1^2/60</f>
        <v>2.5000000000000002E-8</v>
      </c>
      <c r="O5" s="3">
        <f>(N5*$D$6*$D$7)/($D$3*$D$4*M5)</f>
        <v>0.1445783132530121</v>
      </c>
    </row>
    <row r="6" spans="1:22" ht="15.75" x14ac:dyDescent="0.25">
      <c r="A6" s="10" t="s">
        <v>48</v>
      </c>
      <c r="B6" s="18">
        <v>1</v>
      </c>
      <c r="C6" s="10" t="s">
        <v>49</v>
      </c>
      <c r="D6" s="13">
        <f>B6/1000</f>
        <v>1E-3</v>
      </c>
      <c r="E6" s="10" t="s">
        <v>50</v>
      </c>
      <c r="F6" s="11"/>
      <c r="G6" s="11"/>
      <c r="H6" s="11"/>
      <c r="I6" s="11"/>
      <c r="J6" s="3">
        <f>(K6)/(K6+J14)</f>
        <v>0.5</v>
      </c>
      <c r="K6" s="19">
        <v>0.84499999999999997</v>
      </c>
      <c r="L6" s="3">
        <v>8.5399999999999991</v>
      </c>
      <c r="M6" s="3">
        <f>L6*6894.8</f>
        <v>58881.591999999997</v>
      </c>
      <c r="N6" s="3">
        <f>K6/100^3*1^2/60</f>
        <v>1.4083333333333332E-8</v>
      </c>
      <c r="O6" s="3">
        <f>(N6*$D$6*$D$7)/($D$3*$D$4*M6)</f>
        <v>7.9156908665105385E-2</v>
      </c>
    </row>
    <row r="7" spans="1:22" ht="15.75" x14ac:dyDescent="0.25">
      <c r="A7" s="10" t="s">
        <v>18</v>
      </c>
      <c r="B7" s="18">
        <v>4</v>
      </c>
      <c r="C7" s="10" t="s">
        <v>51</v>
      </c>
      <c r="D7" s="13">
        <f>B7*2.54/100</f>
        <v>0.1016</v>
      </c>
      <c r="E7" s="10" t="s">
        <v>52</v>
      </c>
      <c r="F7" s="11"/>
      <c r="G7" s="11"/>
      <c r="H7" s="11"/>
      <c r="I7" s="11"/>
      <c r="J7" s="3">
        <f>(K7)/(K7+J15)</f>
        <v>0.37174721189591081</v>
      </c>
      <c r="K7" s="3">
        <v>0.5</v>
      </c>
      <c r="L7" s="3">
        <v>7.57</v>
      </c>
      <c r="M7" s="3">
        <f>L7*6894.8</f>
        <v>52193.636000000006</v>
      </c>
      <c r="N7" s="3">
        <f>K7/100^3*1^2/60</f>
        <v>8.3333333333333335E-9</v>
      </c>
      <c r="O7" s="3">
        <f>(N7*$D$6*$D$7)/($D$3*$D$4*M7)</f>
        <v>5.284015852047555E-2</v>
      </c>
    </row>
    <row r="8" spans="1:22" x14ac:dyDescent="0.25">
      <c r="G8" s="19"/>
      <c r="H8" s="19"/>
      <c r="I8" s="19"/>
      <c r="J8" s="3">
        <f>(K8)/(K8+J16)</f>
        <v>0.22831050228310504</v>
      </c>
      <c r="K8" s="3">
        <v>0.25</v>
      </c>
      <c r="L8" s="3">
        <v>6.9</v>
      </c>
      <c r="M8" s="3">
        <v>57227.839999999997</v>
      </c>
      <c r="N8" s="3">
        <f>K8/100^3*1^2/60</f>
        <v>4.1666666666666668E-9</v>
      </c>
      <c r="O8" s="3">
        <f>(N8*$D$6*$D$7)/($D$3*$D$4*M8)</f>
        <v>2.409596448162293E-2</v>
      </c>
    </row>
    <row r="9" spans="1:22" x14ac:dyDescent="0.25">
      <c r="J9" s="3">
        <f>(K9)/(K9+J17)</f>
        <v>0.12886597938144331</v>
      </c>
      <c r="K9" s="3">
        <v>0.25</v>
      </c>
      <c r="L9" s="3">
        <v>9.4</v>
      </c>
      <c r="M9" s="3">
        <f>L9*6894.8</f>
        <v>64811.12</v>
      </c>
      <c r="N9" s="3">
        <f>K9/100^3*1^2/60</f>
        <v>4.1666666666666668E-9</v>
      </c>
      <c r="O9" s="3">
        <f>(N9*$D$6*$D$7)/($D$3*$D$4*M9)</f>
        <v>2.1276595744680851E-2</v>
      </c>
    </row>
    <row r="12" spans="1:22" x14ac:dyDescent="0.25">
      <c r="J12" s="19" t="s">
        <v>53</v>
      </c>
      <c r="K12" s="3" t="s">
        <v>42</v>
      </c>
      <c r="L12" s="3" t="s">
        <v>43</v>
      </c>
      <c r="M12" s="42" t="s">
        <v>44</v>
      </c>
      <c r="N12" s="42"/>
    </row>
    <row r="13" spans="1:22" x14ac:dyDescent="0.25">
      <c r="J13" s="3">
        <v>0</v>
      </c>
      <c r="M13" s="3">
        <f>J13/100^3*1^2/60</f>
        <v>0</v>
      </c>
      <c r="N13" s="3">
        <v>0</v>
      </c>
      <c r="T13" s="3" t="s">
        <v>11</v>
      </c>
      <c r="U13" s="3" t="s">
        <v>54</v>
      </c>
      <c r="V13" s="3" t="s">
        <v>55</v>
      </c>
    </row>
    <row r="14" spans="1:22" ht="15.75" x14ac:dyDescent="0.25">
      <c r="G14" s="19"/>
      <c r="H14" s="19"/>
      <c r="I14" s="19"/>
      <c r="J14" s="3">
        <v>0.84499999999999997</v>
      </c>
      <c r="K14" s="3">
        <v>8.5399999999999991</v>
      </c>
      <c r="L14" s="3">
        <f>K14*6894.8</f>
        <v>58881.591999999997</v>
      </c>
      <c r="M14" s="3">
        <f>J14/100^3*1^2/60</f>
        <v>1.4083333333333332E-8</v>
      </c>
      <c r="N14" s="3">
        <f>(M14*$D$17*$D$7)/($D$3*$D$4*L14)</f>
        <v>8.1531615925058544E-4</v>
      </c>
      <c r="O14" s="11"/>
      <c r="T14" s="3">
        <v>1</v>
      </c>
      <c r="U14" s="3">
        <v>1.0000000000000002</v>
      </c>
      <c r="V14" s="3">
        <v>0</v>
      </c>
    </row>
    <row r="15" spans="1:22" ht="15.75" x14ac:dyDescent="0.25">
      <c r="J15" s="3">
        <v>0.84499999999999997</v>
      </c>
      <c r="K15" s="3">
        <v>7.57</v>
      </c>
      <c r="L15" s="3">
        <f>K15*6894.8</f>
        <v>52193.636000000006</v>
      </c>
      <c r="M15" s="3">
        <f>J15/100^3*1^2/60</f>
        <v>1.4083333333333332E-8</v>
      </c>
      <c r="N15" s="3">
        <f>(M15*$D$6*$D$7)/($D$3*$D$4*L15)</f>
        <v>8.9299867899603674E-2</v>
      </c>
      <c r="O15" s="11"/>
      <c r="T15" s="3">
        <v>0.5</v>
      </c>
      <c r="U15" s="3">
        <v>0.54750195160031223</v>
      </c>
      <c r="V15" s="3">
        <v>5.639270101483216E-3</v>
      </c>
    </row>
    <row r="16" spans="1:22" ht="15.75" x14ac:dyDescent="0.25">
      <c r="J16" s="3">
        <v>0.84499999999999997</v>
      </c>
      <c r="K16" s="3">
        <v>6.9</v>
      </c>
      <c r="L16" s="3">
        <v>57227.839999999997</v>
      </c>
      <c r="M16" s="3">
        <f>J16/100^3*1^2/60</f>
        <v>1.4083333333333332E-8</v>
      </c>
      <c r="N16" s="3">
        <f>(M16*$D$6*$D$7)/($D$3*$D$4*L16)</f>
        <v>8.14443599478855E-2</v>
      </c>
      <c r="O16" s="11"/>
      <c r="P16" s="11"/>
      <c r="Q16" s="11"/>
      <c r="T16" s="3">
        <v>0.37174721189591081</v>
      </c>
      <c r="U16" s="3">
        <v>0.36547776309995589</v>
      </c>
      <c r="V16" s="3">
        <v>0.6176574196389254</v>
      </c>
    </row>
    <row r="17" spans="3:22" ht="15.75" x14ac:dyDescent="0.25">
      <c r="C17" s="3">
        <v>1.03E-2</v>
      </c>
      <c r="D17" s="3">
        <f>C17/1000</f>
        <v>1.03E-5</v>
      </c>
      <c r="J17" s="3">
        <v>1.69</v>
      </c>
      <c r="K17" s="3">
        <v>9.4</v>
      </c>
      <c r="L17" s="3">
        <f>K17*6894.8</f>
        <v>64811.12</v>
      </c>
      <c r="M17" s="3">
        <f>J17/100^3*1^2/60</f>
        <v>2.8166666666666664E-8</v>
      </c>
      <c r="N17" s="3">
        <f>(M17*$D$6*$D$7)/($D$3*$D$4*L17)</f>
        <v>0.14382978723404255</v>
      </c>
      <c r="O17" s="11"/>
      <c r="P17" s="14"/>
      <c r="Q17" s="11"/>
      <c r="T17" s="3">
        <v>0.22831050228310504</v>
      </c>
      <c r="U17" s="3">
        <v>0.16666375433122527</v>
      </c>
      <c r="V17" s="3">
        <v>0.56332348963954137</v>
      </c>
    </row>
    <row r="18" spans="3:22" ht="15.75" x14ac:dyDescent="0.25">
      <c r="P18" s="16"/>
      <c r="Q18" s="14"/>
      <c r="T18" s="3">
        <v>0.12886597938144331</v>
      </c>
      <c r="U18" s="3">
        <v>0.14716312056737588</v>
      </c>
      <c r="V18" s="3">
        <v>0.99482269503546072</v>
      </c>
    </row>
    <row r="19" spans="3:22" ht="15.75" x14ac:dyDescent="0.25">
      <c r="P19" s="17"/>
      <c r="Q19" s="11"/>
    </row>
  </sheetData>
  <mergeCells count="6">
    <mergeCell ref="M12:N12"/>
    <mergeCell ref="J1:O1"/>
    <mergeCell ref="L2:M2"/>
    <mergeCell ref="L3:M3"/>
    <mergeCell ref="N3:O3"/>
    <mergeCell ref="N4:O4"/>
  </mergeCells>
  <pageMargins left="0.7" right="0.7" top="0.75" bottom="0.75" header="0.3" footer="0.3"/>
  <pageSetup paperSize="1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Core Parameters</vt:lpstr>
      <vt:lpstr>Calculation</vt:lpstr>
      <vt:lpstr>Raw Data</vt:lpstr>
      <vt:lpstr>Sh</vt:lpstr>
      <vt:lpstr>Perm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2019-06-12T16:07:34Z</dcterms:modified>
</cp:coreProperties>
</file>