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ch\Documents\Texas\Research\Data\Boise Permeability_6_6_2018\"/>
    </mc:Choice>
  </mc:AlternateContent>
  <bookViews>
    <workbookView xWindow="0" yWindow="0" windowWidth="24000" windowHeight="10133" firstSheet="3" activeTab="4"/>
  </bookViews>
  <sheets>
    <sheet name="Single phase perm" sheetId="2" r:id="rId1"/>
    <sheet name="Sheet1" sheetId="1" r:id="rId2"/>
    <sheet name="Single Phase Perm _ use" sheetId="3" r:id="rId3"/>
    <sheet name="Rel Perm no hydrate" sheetId="4" r:id="rId4"/>
    <sheet name="Rel Perm with hydrat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5" l="1"/>
  <c r="B20" i="5" s="1"/>
  <c r="L8" i="5"/>
  <c r="I20" i="5" s="1"/>
  <c r="H8" i="5"/>
  <c r="D20" i="5" s="1"/>
  <c r="L17" i="1"/>
  <c r="K4" i="5"/>
  <c r="H7" i="5"/>
  <c r="H6" i="5"/>
  <c r="D18" i="5"/>
  <c r="M4" i="5"/>
  <c r="L4" i="5"/>
  <c r="G14" i="2"/>
  <c r="G13" i="2"/>
  <c r="G12" i="2"/>
  <c r="L7" i="5"/>
  <c r="M7" i="5"/>
  <c r="L6" i="5"/>
  <c r="M6" i="5"/>
  <c r="I18" i="5" s="1"/>
  <c r="L5" i="5"/>
  <c r="M5" i="5"/>
  <c r="I17" i="5" s="1"/>
  <c r="K7" i="5"/>
  <c r="K6" i="5"/>
  <c r="K5" i="5"/>
  <c r="I3" i="5"/>
  <c r="G6" i="5"/>
  <c r="I4" i="5"/>
  <c r="K7" i="4"/>
  <c r="G19" i="4"/>
  <c r="H3" i="5"/>
  <c r="H4" i="5"/>
  <c r="D16" i="5" s="1"/>
  <c r="G3" i="5"/>
  <c r="A19" i="5"/>
  <c r="B19" i="5" s="1"/>
  <c r="A18" i="5"/>
  <c r="B18" i="5" s="1"/>
  <c r="A17" i="5"/>
  <c r="B17" i="5" s="1"/>
  <c r="A16" i="5"/>
  <c r="B16" i="5" s="1"/>
  <c r="A15" i="5"/>
  <c r="B15" i="5" s="1"/>
  <c r="I7" i="5"/>
  <c r="E19" i="5" s="1"/>
  <c r="G7" i="5"/>
  <c r="I6" i="5"/>
  <c r="E18" i="5" s="1"/>
  <c r="I5" i="5"/>
  <c r="E17" i="5" s="1"/>
  <c r="H5" i="5"/>
  <c r="G5" i="5"/>
  <c r="G4" i="5"/>
  <c r="G19" i="5" l="1"/>
  <c r="E16" i="5"/>
  <c r="I19" i="5"/>
  <c r="I16" i="5"/>
  <c r="C16" i="5"/>
  <c r="C18" i="5"/>
  <c r="G16" i="5"/>
  <c r="H17" i="5"/>
  <c r="H16" i="5"/>
  <c r="D17" i="5"/>
  <c r="H18" i="5"/>
  <c r="D19" i="5"/>
  <c r="H19" i="5"/>
  <c r="C17" i="5"/>
  <c r="C19" i="5"/>
  <c r="G18" i="5"/>
  <c r="G17" i="5"/>
  <c r="K5" i="4" l="1"/>
  <c r="I17" i="4"/>
  <c r="E18" i="4"/>
  <c r="F18" i="4"/>
  <c r="H16" i="4"/>
  <c r="G16" i="4"/>
  <c r="D16" i="4"/>
  <c r="C16" i="4"/>
  <c r="J7" i="4"/>
  <c r="F19" i="4" s="1"/>
  <c r="H7" i="4"/>
  <c r="D19" i="4" s="1"/>
  <c r="I7" i="4"/>
  <c r="E19" i="4" s="1"/>
  <c r="H6" i="4"/>
  <c r="D18" i="4" s="1"/>
  <c r="I6" i="4"/>
  <c r="J6" i="4"/>
  <c r="H5" i="4"/>
  <c r="D17" i="4" s="1"/>
  <c r="I5" i="4"/>
  <c r="E17" i="4" s="1"/>
  <c r="J5" i="4"/>
  <c r="F17" i="4" s="1"/>
  <c r="G7" i="4"/>
  <c r="C19" i="4" s="1"/>
  <c r="G6" i="4"/>
  <c r="C18" i="4" s="1"/>
  <c r="G5" i="4"/>
  <c r="C17" i="4" s="1"/>
  <c r="L7" i="4"/>
  <c r="H19" i="4" s="1"/>
  <c r="M7" i="4"/>
  <c r="I19" i="4" s="1"/>
  <c r="N7" i="4"/>
  <c r="J19" i="4" s="1"/>
  <c r="L6" i="4"/>
  <c r="H18" i="4" s="1"/>
  <c r="M6" i="4"/>
  <c r="I18" i="4" s="1"/>
  <c r="N6" i="4"/>
  <c r="J18" i="4" s="1"/>
  <c r="K6" i="4"/>
  <c r="G18" i="4" s="1"/>
  <c r="L5" i="4"/>
  <c r="H17" i="4" s="1"/>
  <c r="M5" i="4"/>
  <c r="N5" i="4"/>
  <c r="J17" i="4" s="1"/>
  <c r="G17" i="4"/>
  <c r="N4" i="4"/>
  <c r="J16" i="4" s="1"/>
  <c r="L4" i="4"/>
  <c r="M4" i="4"/>
  <c r="I16" i="4" s="1"/>
  <c r="K4" i="4"/>
  <c r="H4" i="4"/>
  <c r="I4" i="4"/>
  <c r="E16" i="4" s="1"/>
  <c r="J4" i="4"/>
  <c r="F16" i="4" s="1"/>
  <c r="G4" i="4"/>
  <c r="G2" i="3"/>
  <c r="G11" i="2"/>
  <c r="A15" i="4"/>
  <c r="B15" i="4" s="1"/>
  <c r="A19" i="4"/>
  <c r="B19" i="4" s="1"/>
  <c r="A18" i="4"/>
  <c r="B18" i="4" s="1"/>
  <c r="A17" i="4"/>
  <c r="B17" i="4" s="1"/>
  <c r="A16" i="4"/>
  <c r="B16" i="4" s="1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F2" i="3"/>
  <c r="M15" i="2"/>
  <c r="M14" i="2"/>
  <c r="L15" i="2"/>
  <c r="N15" i="2"/>
  <c r="K15" i="2"/>
  <c r="J15" i="2"/>
  <c r="I15" i="2"/>
  <c r="H15" i="2"/>
  <c r="G15" i="2"/>
  <c r="O15" i="2"/>
  <c r="P15" i="2" s="1"/>
  <c r="M12" i="2"/>
  <c r="I12" i="2"/>
  <c r="M11" i="2"/>
  <c r="I14" i="2"/>
  <c r="I13" i="2"/>
  <c r="M13" i="2"/>
  <c r="K14" i="2"/>
  <c r="K13" i="2"/>
  <c r="K12" i="2"/>
  <c r="K11" i="2"/>
  <c r="L14" i="2"/>
  <c r="H14" i="2"/>
  <c r="J14" i="2"/>
  <c r="L13" i="2"/>
  <c r="N13" i="2"/>
  <c r="O13" i="2"/>
  <c r="P13" i="2" s="1"/>
  <c r="O14" i="2"/>
  <c r="P14" i="2" s="1"/>
  <c r="H13" i="2"/>
  <c r="J13" i="2"/>
  <c r="J19" i="2"/>
  <c r="L12" i="2"/>
  <c r="N12" i="2"/>
  <c r="H12" i="2"/>
  <c r="J12" i="2"/>
  <c r="L11" i="2"/>
  <c r="N11" i="2"/>
  <c r="H11" i="2"/>
  <c r="I11" i="2"/>
  <c r="J11" i="2"/>
  <c r="O12" i="2"/>
  <c r="P12" i="2" s="1"/>
  <c r="P11" i="2"/>
  <c r="O11" i="2"/>
  <c r="F3" i="2"/>
  <c r="F4" i="2"/>
  <c r="F5" i="2"/>
  <c r="F2" i="2"/>
  <c r="L7" i="1"/>
  <c r="K7" i="1"/>
  <c r="H5" i="2"/>
  <c r="I5" i="2"/>
  <c r="J5" i="2"/>
  <c r="G5" i="2"/>
  <c r="H4" i="2"/>
  <c r="I4" i="2"/>
  <c r="J4" i="2"/>
  <c r="G4" i="2"/>
  <c r="H3" i="2"/>
  <c r="I3" i="2"/>
  <c r="J3" i="2"/>
  <c r="G3" i="2"/>
  <c r="H2" i="2"/>
  <c r="I2" i="2"/>
  <c r="J2" i="2"/>
  <c r="J6" i="2" s="1"/>
  <c r="G2" i="2"/>
  <c r="G6" i="2" s="1"/>
  <c r="H6" i="2"/>
  <c r="K8" i="2" s="1"/>
  <c r="I6" i="2"/>
  <c r="L19" i="1"/>
  <c r="L18" i="1"/>
  <c r="K17" i="1"/>
  <c r="D17" i="1"/>
  <c r="L16" i="1"/>
  <c r="K16" i="1"/>
  <c r="L15" i="1"/>
  <c r="L11" i="1"/>
  <c r="K11" i="1"/>
  <c r="H11" i="1"/>
  <c r="H19" i="1" s="1"/>
  <c r="L10" i="1"/>
  <c r="K10" i="1"/>
  <c r="H10" i="1"/>
  <c r="H18" i="1" s="1"/>
  <c r="L9" i="1"/>
  <c r="K9" i="1"/>
  <c r="H9" i="1"/>
  <c r="H17" i="1" s="1"/>
  <c r="L8" i="1"/>
  <c r="K8" i="1"/>
  <c r="H8" i="1"/>
  <c r="H16" i="1" s="1"/>
  <c r="D7" i="1"/>
  <c r="D6" i="1"/>
  <c r="D5" i="1"/>
  <c r="D4" i="1"/>
  <c r="D2" i="1"/>
  <c r="H6" i="3" l="1"/>
  <c r="G6" i="3"/>
  <c r="I6" i="3"/>
  <c r="J6" i="3"/>
  <c r="D3" i="1"/>
  <c r="M11" i="1" s="1"/>
  <c r="M10" i="1"/>
  <c r="M18" i="1" l="1"/>
  <c r="M16" i="1"/>
  <c r="M9" i="1"/>
  <c r="G3" i="1"/>
  <c r="G4" i="1" s="1"/>
  <c r="M7" i="1"/>
  <c r="M8" i="1"/>
  <c r="M19" i="1"/>
  <c r="M17" i="1"/>
</calcChain>
</file>

<file path=xl/sharedStrings.xml><?xml version="1.0" encoding="utf-8"?>
<sst xmlns="http://schemas.openxmlformats.org/spreadsheetml/2006/main" count="123" uniqueCount="62">
  <si>
    <t>lab units</t>
  </si>
  <si>
    <t>SI</t>
  </si>
  <si>
    <t>q</t>
  </si>
  <si>
    <t>ml/min</t>
  </si>
  <si>
    <r>
      <t>m</t>
    </r>
    <r>
      <rPr>
        <sz val="12"/>
        <color rgb="FF000000"/>
        <rFont val="Calibri Light"/>
        <family val="2"/>
        <scheme val="major"/>
      </rPr>
      <t>3/s</t>
    </r>
  </si>
  <si>
    <t>Permeability</t>
  </si>
  <si>
    <t>q=ka/u*deltap/L</t>
  </si>
  <si>
    <t>k</t>
  </si>
  <si>
    <r>
      <t>m</t>
    </r>
    <r>
      <rPr>
        <sz val="12"/>
        <color rgb="FF000000"/>
        <rFont val="Calibri Light"/>
        <family val="2"/>
        <scheme val="major"/>
      </rPr>
      <t>2</t>
    </r>
  </si>
  <si>
    <t>Darcy</t>
  </si>
  <si>
    <t>A</t>
  </si>
  <si>
    <r>
      <t>in</t>
    </r>
    <r>
      <rPr>
        <sz val="12"/>
        <color rgb="FF000000"/>
        <rFont val="Calibri Light"/>
        <family val="2"/>
        <scheme val="major"/>
      </rPr>
      <t>2</t>
    </r>
  </si>
  <si>
    <t>md</t>
  </si>
  <si>
    <t>Data</t>
  </si>
  <si>
    <t>dP</t>
  </si>
  <si>
    <t>psi</t>
  </si>
  <si>
    <t>Pa</t>
  </si>
  <si>
    <t>ΔP (psi)</t>
  </si>
  <si>
    <t>Interpretation</t>
  </si>
  <si>
    <t>mu</t>
  </si>
  <si>
    <t>cp</t>
  </si>
  <si>
    <t>Pa-s</t>
  </si>
  <si>
    <t>Sw</t>
  </si>
  <si>
    <t>Qw</t>
  </si>
  <si>
    <t>dp (psi)</t>
  </si>
  <si>
    <t>Pressure (Pa)</t>
  </si>
  <si>
    <t>Q (m3/s)</t>
  </si>
  <si>
    <t>Solve for Kri</t>
  </si>
  <si>
    <t>L</t>
  </si>
  <si>
    <t>in</t>
  </si>
  <si>
    <t>m</t>
  </si>
  <si>
    <t>Sg</t>
  </si>
  <si>
    <t>Qg</t>
  </si>
  <si>
    <t>dp</t>
  </si>
  <si>
    <t>Pressure (psi)</t>
  </si>
  <si>
    <t>mu gas</t>
  </si>
  <si>
    <t>Flow Rate</t>
  </si>
  <si>
    <t>3 perm</t>
  </si>
  <si>
    <t>4 perm</t>
  </si>
  <si>
    <t>5 perm</t>
  </si>
  <si>
    <t>2 perm</t>
  </si>
  <si>
    <t>Total Average</t>
  </si>
  <si>
    <t>Core dp avg</t>
  </si>
  <si>
    <t>Gas Flow Rate</t>
  </si>
  <si>
    <t>Liquid Flow Rate</t>
  </si>
  <si>
    <t>dP (psi)</t>
  </si>
  <si>
    <t>Krw</t>
  </si>
  <si>
    <t>Krg</t>
  </si>
  <si>
    <t>mu (brine)</t>
  </si>
  <si>
    <t>mu (gas)</t>
  </si>
  <si>
    <t>Sec 2</t>
  </si>
  <si>
    <t>Sec 3</t>
  </si>
  <si>
    <t xml:space="preserve"> Sec 4</t>
  </si>
  <si>
    <t xml:space="preserve"> Sec 5</t>
  </si>
  <si>
    <t>Sec3</t>
  </si>
  <si>
    <t>Sec 4</t>
  </si>
  <si>
    <t>Sec5</t>
  </si>
  <si>
    <t>k brine</t>
  </si>
  <si>
    <t>k gas</t>
  </si>
  <si>
    <t>Saturations</t>
  </si>
  <si>
    <t>m^2 to Darcy</t>
  </si>
  <si>
    <t>Sec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</si>
</sst>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7" fillId="0" borderId="0" xfId="0" applyFont="1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'Single phase perm'!$O$11:$O$15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4.7619047619047616E-2</c:v>
                </c:pt>
                <c:pt idx="4">
                  <c:v>1.9607843137254902E-2</c:v>
                </c:pt>
              </c:numCache>
            </c:numRef>
          </c:xVal>
          <c:yVal>
            <c:numRef>
              <c:f>'Single phase perm'!$I$11:$I$15</c:f>
              <c:numCache>
                <c:formatCode>General</c:formatCode>
                <c:ptCount val="5"/>
                <c:pt idx="0">
                  <c:v>0.99999999999999989</c:v>
                </c:pt>
                <c:pt idx="1">
                  <c:v>0.22772277227722768</c:v>
                </c:pt>
                <c:pt idx="2">
                  <c:v>0.12234042553191489</c:v>
                </c:pt>
                <c:pt idx="3">
                  <c:v>8.2142857142857129E-2</c:v>
                </c:pt>
                <c:pt idx="4">
                  <c:v>4.5999999999999992E-2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'Single phase perm'!$O$11:$O$15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0.2</c:v>
                </c:pt>
                <c:pt idx="3">
                  <c:v>4.7619047619047616E-2</c:v>
                </c:pt>
                <c:pt idx="4">
                  <c:v>1.9607843137254902E-2</c:v>
                </c:pt>
              </c:numCache>
            </c:numRef>
          </c:xVal>
          <c:yVal>
            <c:numRef>
              <c:f>'Single phase perm'!$M$11:$M$15</c:f>
              <c:numCache>
                <c:formatCode>General</c:formatCode>
                <c:ptCount val="5"/>
                <c:pt idx="0">
                  <c:v>0</c:v>
                </c:pt>
                <c:pt idx="1">
                  <c:v>4.0762376237623759E-3</c:v>
                </c:pt>
                <c:pt idx="2">
                  <c:v>8.7595744680851063E-3</c:v>
                </c:pt>
                <c:pt idx="3">
                  <c:v>2.9407142857142854E-2</c:v>
                </c:pt>
                <c:pt idx="4">
                  <c:v>3.2936E-2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28576"/>
        <c:axId val="178735312"/>
      </c:scatterChart>
      <c:valAx>
        <c:axId val="36052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35312"/>
        <c:crosses val="autoZero"/>
        <c:crossBetween val="midCat"/>
      </c:valAx>
      <c:valAx>
        <c:axId val="178735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'Rel Perm no hydrate'!$A$15:$A$19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0.16666666666666666</c:v>
                </c:pt>
                <c:pt idx="3">
                  <c:v>7.407407407407407E-2</c:v>
                </c:pt>
                <c:pt idx="4">
                  <c:v>1.9607843137254902E-2</c:v>
                </c:pt>
              </c:numCache>
            </c:numRef>
          </c:xVal>
          <c:yVal>
            <c:numRef>
              <c:f>'Rel Perm no hydrate'!$F$15:$F$19</c:f>
              <c:numCache>
                <c:formatCode>General</c:formatCode>
                <c:ptCount val="5"/>
                <c:pt idx="0">
                  <c:v>1</c:v>
                </c:pt>
                <c:pt idx="1">
                  <c:v>0.41570105346608405</c:v>
                </c:pt>
                <c:pt idx="2">
                  <c:v>0.17099759646122606</c:v>
                </c:pt>
                <c:pt idx="3">
                  <c:v>8.6885265228947295E-2</c:v>
                </c:pt>
                <c:pt idx="4">
                  <c:v>2.4856351650549356E-2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'Rel Perm no hydrate'!$A$15:$A$19</c:f>
              <c:numCache>
                <c:formatCode>General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0.16666666666666666</c:v>
                </c:pt>
                <c:pt idx="3">
                  <c:v>7.407407407407407E-2</c:v>
                </c:pt>
                <c:pt idx="4">
                  <c:v>1.9607843137254902E-2</c:v>
                </c:pt>
              </c:numCache>
            </c:numRef>
          </c:xVal>
          <c:yVal>
            <c:numRef>
              <c:f>'Rel Perm no hydrate'!$J$15:$J$19</c:f>
              <c:numCache>
                <c:formatCode>General</c:formatCode>
                <c:ptCount val="5"/>
                <c:pt idx="0">
                  <c:v>0</c:v>
                </c:pt>
                <c:pt idx="1">
                  <c:v>7.441048857042905E-3</c:v>
                </c:pt>
                <c:pt idx="2">
                  <c:v>1.5304284883279737E-2</c:v>
                </c:pt>
                <c:pt idx="3">
                  <c:v>1.9440578094976957E-2</c:v>
                </c:pt>
                <c:pt idx="4">
                  <c:v>2.2246434727241676E-2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35704"/>
        <c:axId val="178734920"/>
      </c:scatterChart>
      <c:valAx>
        <c:axId val="17873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34920"/>
        <c:crosses val="autoZero"/>
        <c:crossBetween val="midCat"/>
      </c:valAx>
      <c:valAx>
        <c:axId val="17873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35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</a:t>
            </a:r>
            <a:r>
              <a:rPr lang="en-US" baseline="0"/>
              <a:t> phase relative permeability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Krw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'Rel Perm with hydrate'!$A$15:$A$19</c:f>
              <c:numCache>
                <c:formatCode>General</c:formatCode>
                <c:ptCount val="5"/>
                <c:pt idx="0">
                  <c:v>1</c:v>
                </c:pt>
                <c:pt idx="1">
                  <c:v>0.95238095238095233</c:v>
                </c:pt>
                <c:pt idx="2">
                  <c:v>0.62893081761006298</c:v>
                </c:pt>
                <c:pt idx="3">
                  <c:v>0.45871559633027531</c:v>
                </c:pt>
                <c:pt idx="4">
                  <c:v>0.14492753623188409</c:v>
                </c:pt>
              </c:numCache>
            </c:numRef>
          </c:xVal>
          <c:yVal>
            <c:numRef>
              <c:f>'Rel Perm with hydrate'!$E$15:$E$19</c:f>
              <c:numCache>
                <c:formatCode>General</c:formatCode>
                <c:ptCount val="5"/>
                <c:pt idx="0">
                  <c:v>1</c:v>
                </c:pt>
                <c:pt idx="1">
                  <c:v>0.78</c:v>
                </c:pt>
                <c:pt idx="2">
                  <c:v>0.2691511387163561</c:v>
                </c:pt>
                <c:pt idx="3">
                  <c:v>0.27784374257895983</c:v>
                </c:pt>
                <c:pt idx="4">
                  <c:v>2.4885674784643201E-2</c:v>
                </c:pt>
              </c:numCache>
            </c:numRef>
          </c:yVal>
          <c:smooth val="0"/>
        </c:ser>
        <c:ser>
          <c:idx val="1"/>
          <c:order val="1"/>
          <c:tx>
            <c:v>Krg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'Rel Perm with hydrate'!$K$15:$K$20</c:f>
              <c:numCache>
                <c:formatCode>General</c:formatCode>
                <c:ptCount val="6"/>
                <c:pt idx="0">
                  <c:v>1</c:v>
                </c:pt>
                <c:pt idx="1">
                  <c:v>0.95238095238095233</c:v>
                </c:pt>
                <c:pt idx="2">
                  <c:v>0.62893081761006298</c:v>
                </c:pt>
                <c:pt idx="3">
                  <c:v>0.45871559633027531</c:v>
                </c:pt>
                <c:pt idx="5">
                  <c:v>0.144927</c:v>
                </c:pt>
              </c:numCache>
            </c:numRef>
          </c:xVal>
          <c:yVal>
            <c:numRef>
              <c:f>'Rel Perm with hydrate'!$J$15:$J$20</c:f>
              <c:numCache>
                <c:formatCode>General</c:formatCode>
                <c:ptCount val="6"/>
                <c:pt idx="0">
                  <c:v>0</c:v>
                </c:pt>
                <c:pt idx="1">
                  <c:v>4.172999999999999E-4</c:v>
                </c:pt>
                <c:pt idx="2">
                  <c:v>1.6991511387163555E-3</c:v>
                </c:pt>
                <c:pt idx="3">
                  <c:v>3.5080550938019466E-3</c:v>
                </c:pt>
                <c:pt idx="5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36096"/>
        <c:axId val="178732568"/>
      </c:scatterChart>
      <c:valAx>
        <c:axId val="1787360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32568"/>
        <c:crosses val="autoZero"/>
        <c:crossBetween val="midCat"/>
      </c:valAx>
      <c:valAx>
        <c:axId val="178732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36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254793</xdr:colOff>
      <xdr:row>17</xdr:row>
      <xdr:rowOff>26193</xdr:rowOff>
    </xdr:from>
    <xdr:to>
      <xdr:col>14</xdr:col>
      <xdr:colOff>433388</xdr:colOff>
      <xdr:row>32</xdr:row>
      <xdr:rowOff>54768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235743</xdr:colOff>
      <xdr:row>12</xdr:row>
      <xdr:rowOff>102393</xdr:rowOff>
    </xdr:from>
    <xdr:to>
      <xdr:col>19</xdr:col>
      <xdr:colOff>273843</xdr:colOff>
      <xdr:row>27</xdr:row>
      <xdr:rowOff>130968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395287</xdr:colOff>
      <xdr:row>8</xdr:row>
      <xdr:rowOff>133350</xdr:rowOff>
    </xdr:from>
    <xdr:to>
      <xdr:col>21</xdr:col>
      <xdr:colOff>547687</xdr:colOff>
      <xdr:row>26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E34" sqref="E34"/>
    </sheetView>
  </sheetViews>
  <sheetFormatPr defaultRowHeight="14.25" x14ac:dyDescent="0.45"/>
  <cols>
    <col min="1" max="1" width="11.86328125" bestFit="1" customWidth="1"/>
    <col min="2" max="2" width="13.796875" bestFit="1" customWidth="1"/>
    <col min="6" max="6" width="10" bestFit="1" customWidth="1"/>
    <col min="11" max="11" width="11.59765625" bestFit="1" customWidth="1"/>
    <col min="15" max="15" width="9.73046875" bestFit="1" customWidth="1"/>
  </cols>
  <sheetData>
    <row r="1" spans="1:16" x14ac:dyDescent="0.45">
      <c r="A1" t="s">
        <v>36</v>
      </c>
      <c r="B1">
        <v>2</v>
      </c>
      <c r="C1">
        <v>3</v>
      </c>
      <c r="D1">
        <v>4</v>
      </c>
      <c r="E1">
        <v>5</v>
      </c>
      <c r="F1" t="s">
        <v>42</v>
      </c>
      <c r="G1" t="s">
        <v>40</v>
      </c>
      <c r="H1" t="s">
        <v>37</v>
      </c>
      <c r="I1" t="s">
        <v>38</v>
      </c>
      <c r="J1" t="s">
        <v>39</v>
      </c>
    </row>
    <row r="2" spans="1:16" x14ac:dyDescent="0.45">
      <c r="A2">
        <v>5</v>
      </c>
      <c r="B2">
        <v>0.13</v>
      </c>
      <c r="C2">
        <v>0.105</v>
      </c>
      <c r="D2">
        <v>0.115</v>
      </c>
      <c r="E2">
        <v>0.12</v>
      </c>
      <c r="F2">
        <f>AVERAGE(B2:E2)</f>
        <v>0.11749999999999999</v>
      </c>
      <c r="G2">
        <f>((($A$2/100^3*1^2/60)*$M$3*$M$4)/($M$2*(B2*6894.8)))*1013000000000</f>
        <v>7.3444783046223217</v>
      </c>
      <c r="H2">
        <f>((($A$2/100^3*1^2/60)*$M$3*$M$4)/($M$2*(C2*6894.8)))*1013000000000</f>
        <v>9.0931636152466861</v>
      </c>
      <c r="I2">
        <f>((($A$2/100^3*1^2/60)*$M$3*$M$4)/($M$2*(D2*6894.8)))*1013000000000</f>
        <v>8.3024537356600163</v>
      </c>
      <c r="J2">
        <f>((($A$2/100^3*1^2/60)*$M$3*$M$4)/($M$2*(E2*6894.8)))*1013000000000</f>
        <v>7.9565181633408484</v>
      </c>
      <c r="L2" t="s">
        <v>10</v>
      </c>
      <c r="M2">
        <v>1.13999772E-3</v>
      </c>
    </row>
    <row r="3" spans="1:16" x14ac:dyDescent="0.45">
      <c r="A3">
        <v>10</v>
      </c>
      <c r="B3">
        <v>0.28000000000000003</v>
      </c>
      <c r="C3">
        <v>0.21</v>
      </c>
      <c r="D3">
        <v>0.23</v>
      </c>
      <c r="E3">
        <v>0.26</v>
      </c>
      <c r="F3">
        <f>AVERAGE(B3:E3)</f>
        <v>0.245</v>
      </c>
      <c r="G3">
        <f>((($A$3/100^3*1^2/60)*$M$3*$M$4)/($M$2*(B3*6894.8)))*1013000000000</f>
        <v>6.8198727114350124</v>
      </c>
      <c r="H3">
        <f>((($A$3/100^3*1^2/60)*$M$3*$M$4)/($M$2*(C3*6894.8)))*1013000000000</f>
        <v>9.0931636152466861</v>
      </c>
      <c r="I3">
        <f>((($A$3/100^3*1^2/60)*$M$3*$M$4)/($M$2*(D3*6894.8)))*1013000000000</f>
        <v>8.3024537356600163</v>
      </c>
      <c r="J3">
        <f>((($A$3/100^3*1^2/60)*$M$3*$M$4)/($M$2*(E3*6894.8)))*1013000000000</f>
        <v>7.3444783046223217</v>
      </c>
      <c r="L3" t="s">
        <v>48</v>
      </c>
      <c r="M3">
        <v>1E-3</v>
      </c>
      <c r="N3" t="s">
        <v>49</v>
      </c>
      <c r="O3">
        <v>1.7900000000000001E-5</v>
      </c>
    </row>
    <row r="4" spans="1:16" x14ac:dyDescent="0.45">
      <c r="A4">
        <v>15</v>
      </c>
      <c r="B4">
        <v>0.42</v>
      </c>
      <c r="C4">
        <v>0.3</v>
      </c>
      <c r="D4">
        <v>0.34</v>
      </c>
      <c r="E4">
        <v>0.40500000000000003</v>
      </c>
      <c r="F4">
        <f>AVERAGE(B4:E4)</f>
        <v>0.36625000000000002</v>
      </c>
      <c r="G4">
        <f>((($A$4/100^3*1^2/60)*$M$3*$M$4)/($M$2*(B4*6894.8)))*1013000000000</f>
        <v>6.8198727114350133</v>
      </c>
      <c r="H4">
        <f>((($A$4/100^3*1^2/60)*$M$3*$M$4)/($M$2*(C4*6894.8)))*1013000000000</f>
        <v>9.5478217960090195</v>
      </c>
      <c r="I4">
        <f>((($A$4/100^3*1^2/60)*$M$3*$M$4)/($M$2*(D4*6894.8)))*1013000000000</f>
        <v>8.4245486435373689</v>
      </c>
      <c r="J4">
        <f>((($A$4/100^3*1^2/60)*$M$3*$M$4)/($M$2*(E4*6894.8)))*1013000000000</f>
        <v>7.0724605896363091</v>
      </c>
      <c r="L4" t="s">
        <v>28</v>
      </c>
      <c r="M4">
        <v>8.8900000000000007E-2</v>
      </c>
    </row>
    <row r="5" spans="1:16" x14ac:dyDescent="0.45">
      <c r="A5">
        <v>20</v>
      </c>
      <c r="B5">
        <v>0.56999999999999995</v>
      </c>
      <c r="C5">
        <v>0.41</v>
      </c>
      <c r="D5">
        <v>0.45</v>
      </c>
      <c r="E5" s="12">
        <v>0.56000000000000005</v>
      </c>
      <c r="F5">
        <f>AVERAGE(B5:E5)</f>
        <v>0.4975</v>
      </c>
      <c r="G5">
        <f>((($A$5/100^3*1^2/60)*$M$3*$M$4)/($M$2*(B5*6894.8)))*1013000000000</f>
        <v>6.7002258217607151</v>
      </c>
      <c r="H5">
        <f>((($A$5/100^3*1^2/60)*$M$3*$M$4)/($M$2*(C5*6894.8)))*1013000000000</f>
        <v>9.3149480936673363</v>
      </c>
      <c r="I5">
        <f>((($A$5/100^3*1^2/60)*$M$3*$M$4)/($M$2*(D5*6894.8)))*1013000000000</f>
        <v>8.4869527075635709</v>
      </c>
      <c r="J5">
        <f>((($A$5/100^3*1^2/60)*$M$3*$M$4)/($M$2*(E5*6894.8)))*1013000000000</f>
        <v>6.8198727114350124</v>
      </c>
    </row>
    <row r="6" spans="1:16" x14ac:dyDescent="0.45">
      <c r="G6">
        <f>AVERAGE(G2:G5)</f>
        <v>6.9211123873132658</v>
      </c>
      <c r="H6">
        <f>AVERAGE(H2:H5)</f>
        <v>9.2622742800424334</v>
      </c>
      <c r="I6">
        <f>AVERAGE(I2:I5)</f>
        <v>8.3791022056052427</v>
      </c>
      <c r="J6">
        <f>AVERAGE(J2:J5)</f>
        <v>7.2983324422586229</v>
      </c>
    </row>
    <row r="7" spans="1:16" x14ac:dyDescent="0.45">
      <c r="K7" s="13" t="s">
        <v>41</v>
      </c>
    </row>
    <row r="8" spans="1:16" x14ac:dyDescent="0.45">
      <c r="K8" s="13">
        <f>AVERAGE(G6:J6)</f>
        <v>7.965205328804891</v>
      </c>
    </row>
    <row r="9" spans="1:16" x14ac:dyDescent="0.45">
      <c r="C9" s="14" t="s">
        <v>45</v>
      </c>
      <c r="D9" s="14"/>
      <c r="E9" s="14"/>
      <c r="F9" s="14"/>
      <c r="G9" s="14" t="s">
        <v>46</v>
      </c>
      <c r="H9" s="14"/>
      <c r="I9" s="14"/>
      <c r="J9" s="14"/>
      <c r="K9" s="14" t="s">
        <v>47</v>
      </c>
      <c r="L9" s="14"/>
      <c r="M9" s="14"/>
      <c r="N9" s="14"/>
    </row>
    <row r="10" spans="1:16" x14ac:dyDescent="0.45">
      <c r="A10" t="s">
        <v>43</v>
      </c>
      <c r="B10" t="s">
        <v>44</v>
      </c>
      <c r="C10">
        <v>2</v>
      </c>
      <c r="D10">
        <v>3</v>
      </c>
      <c r="E10">
        <v>4</v>
      </c>
      <c r="F10">
        <v>5</v>
      </c>
      <c r="G10">
        <v>2</v>
      </c>
      <c r="H10">
        <v>3</v>
      </c>
      <c r="I10">
        <v>4</v>
      </c>
      <c r="J10">
        <v>5</v>
      </c>
      <c r="K10">
        <v>2</v>
      </c>
      <c r="L10">
        <v>3</v>
      </c>
      <c r="M10">
        <v>4</v>
      </c>
      <c r="N10">
        <v>5</v>
      </c>
      <c r="O10" t="s">
        <v>22</v>
      </c>
      <c r="P10" t="s">
        <v>31</v>
      </c>
    </row>
    <row r="11" spans="1:16" x14ac:dyDescent="0.45">
      <c r="A11">
        <v>0</v>
      </c>
      <c r="B11">
        <v>10</v>
      </c>
      <c r="C11">
        <v>0.28000000000000003</v>
      </c>
      <c r="D11">
        <v>0.21</v>
      </c>
      <c r="E11">
        <v>0.23</v>
      </c>
      <c r="F11">
        <v>0.26</v>
      </c>
      <c r="G11">
        <f>((($B$11/100^3*1^2/60)*$M$3*$M$4)/($M$2*(C11*6894.8)*$G$3))*1013000000000</f>
        <v>0.99999999999999989</v>
      </c>
      <c r="H11">
        <f>((($B$11/100^3*1^2/60)*$M$3*$M$4)/($M$2*(D11*6894.8)*H3))*1013000000000</f>
        <v>0.99999999999999989</v>
      </c>
      <c r="I11">
        <f>((($B$11/100^3*1^2/60)*$M$3*$M$4)/($M$2*(E11*6894.8)*I3))*1013000000000</f>
        <v>0.99999999999999989</v>
      </c>
      <c r="J11">
        <f>((($B$11/100^3*1^2/60)*$M$3*$M$4)/($M$2*(F11*6894.8)*J3))*1013000000000</f>
        <v>1.0000000000000002</v>
      </c>
      <c r="K11">
        <f>((($A$11/100^3*1^2/60)*$O$3*$M$4)/($M$2*(C11*6894.8))*$G$3)*1013000000000</f>
        <v>0</v>
      </c>
      <c r="L11">
        <f>((($A$11/100^3*1^2/60)*$O$3*$M$4)/($M$2*(D11*6894.8)))*1013000000000</f>
        <v>0</v>
      </c>
      <c r="M11">
        <f>((($A$11/100^3*1^2/60)*$O$3*$M$4)/($M$2*(E11*6894.8)*$I$3))*1013000000000</f>
        <v>0</v>
      </c>
      <c r="N11">
        <f>((($A$11/100^3*1^2/60)*$O$3*$M$4)/($M$2*(F11*6894.8)))*1013000000000</f>
        <v>0</v>
      </c>
      <c r="O11">
        <f>(B11/(A11+B11))</f>
        <v>1</v>
      </c>
      <c r="P11">
        <f>1-O11</f>
        <v>0</v>
      </c>
    </row>
    <row r="12" spans="1:16" x14ac:dyDescent="0.45">
      <c r="A12">
        <v>10</v>
      </c>
      <c r="B12">
        <v>10</v>
      </c>
      <c r="C12">
        <v>0.54</v>
      </c>
      <c r="D12">
        <v>0.33</v>
      </c>
      <c r="E12">
        <v>1.01</v>
      </c>
      <c r="F12">
        <v>1.06</v>
      </c>
      <c r="G12">
        <f>((($B$11/100^3*1^2/60)*$M$3*$M$4)/($M$2*(C12*6894.8)*$G$3))*1013000000000</f>
        <v>0.51851851851851849</v>
      </c>
      <c r="H12">
        <f>((($B$12/100^3*1^2/60)*$M$3*$M$4)/($M$2*(D12*6894.8)*H3))*1013000000000</f>
        <v>0.63636363636363624</v>
      </c>
      <c r="I12">
        <f>((($B$12/100^3*1^2/60)*$M$3*$M$4)/($M$2*(E12*6894.8)*I3))*1013000000000</f>
        <v>0.22772277227722768</v>
      </c>
      <c r="J12">
        <f>((($B$12/100^3*1^2/60)*$M$3*$M$4)/($M$2*(F12*6894.8)*J3))*1013000000000</f>
        <v>0.24528301886792453</v>
      </c>
      <c r="K12">
        <f>((($A$12/100^3*1^2/60)*$O$3*$M$4)/($M$2*(C12*6894.8))*$G$3)*1013000000000</f>
        <v>0.43168786475274418</v>
      </c>
      <c r="L12">
        <f>((($A$12/100^3*1^2/60)*$O$3*$M$4)/($M$2*(D12*6894.8)))*1013000000000</f>
        <v>0.10357940009003724</v>
      </c>
      <c r="M12">
        <f>((($A$12/100^3*1^2/60)*$O$3*$M$4)/($M$2*(E12*6894.8)*$I$3))*1013000000000</f>
        <v>4.0762376237623759E-3</v>
      </c>
      <c r="N12">
        <f>((($A$12/100^3*1^2/60)*$O$3*$M$4)/($M$2*(F12*6894.8)))*1013000000000</f>
        <v>3.2246417009162531E-2</v>
      </c>
      <c r="O12">
        <f>(B12/(A12+B12))</f>
        <v>0.5</v>
      </c>
      <c r="P12">
        <f>1-O12</f>
        <v>0.5</v>
      </c>
    </row>
    <row r="13" spans="1:16" x14ac:dyDescent="0.45">
      <c r="A13">
        <v>20</v>
      </c>
      <c r="B13">
        <v>5</v>
      </c>
      <c r="C13">
        <v>0.36</v>
      </c>
      <c r="D13">
        <v>0.14000000000000001</v>
      </c>
      <c r="E13">
        <v>0.94</v>
      </c>
      <c r="F13">
        <v>0.72</v>
      </c>
      <c r="G13">
        <f>((($B$13/100^3*1^2/60)*$M$3*$M$4)/($M$2*(C13*6894.8)*$G$3))*1013000000000</f>
        <v>0.38888888888888895</v>
      </c>
      <c r="H13">
        <f>((($B$13/100^3*1^2/60)*$M$3*$M$4)/($M$2*(D13*6894.8)*H4))*1013000000000</f>
        <v>0.71428571428571408</v>
      </c>
      <c r="I13">
        <f>((($B$13/100^3*1^2/60)*$M$3*$M$4)/($M$2*(E13*6894.8)*I3))*1013000000000</f>
        <v>0.12234042553191489</v>
      </c>
      <c r="J13">
        <f>((($B$13/100^3*1^2/60)*$M$3*$M$4)/($M$2*(F13*6894.8)*J4))*1013000000000</f>
        <v>0.18750000000000003</v>
      </c>
      <c r="K13">
        <f>((($A$13/100^3*1^2/60)*$O$3*$M$4)/($M$2*(C13*6894.8))*$G$3)*1013000000000</f>
        <v>1.2950635942582327</v>
      </c>
      <c r="L13">
        <f>((($A$13/100^3*1^2/60)*$O$3*$M$4)/($M$2*(D13*6894.8)))*1013000000000</f>
        <v>0.48830288613874695</v>
      </c>
      <c r="M13">
        <f>((($A$13/100^3*1^2/60)*$O$3*$M$4)/($M$2*(E13*6894.8)*$I$3))*1013000000000</f>
        <v>8.7595744680851063E-3</v>
      </c>
      <c r="N13">
        <f>((($A$13/100^3*1^2/60)*$O$3*$M$4)/($M$2*(F13*6894.8)))*1013000000000</f>
        <v>9.4947783415867459E-2</v>
      </c>
      <c r="O13">
        <f>(B13/(A13+B13))</f>
        <v>0.2</v>
      </c>
      <c r="P13">
        <f>1-O13</f>
        <v>0.8</v>
      </c>
    </row>
    <row r="14" spans="1:16" x14ac:dyDescent="0.45">
      <c r="A14">
        <v>20</v>
      </c>
      <c r="B14">
        <v>1</v>
      </c>
      <c r="C14">
        <v>0.85</v>
      </c>
      <c r="E14">
        <v>0.28000000000000003</v>
      </c>
      <c r="G14">
        <f>((($B$14/100^3*1^2/60)*$M$3*$M$4)/($M$2*(C14*6894.8)*$G$3))*1013000000000</f>
        <v>3.2941176470588238E-2</v>
      </c>
      <c r="H14" t="e">
        <f>((($B$14/100^3*1^2/60)*$M$3*$M$4)/($M$2*(D14*6894.8)*$G$3))*1013000000000</f>
        <v>#DIV/0!</v>
      </c>
      <c r="I14">
        <f>((($B$14/100^3*1^2/60)*$M$3*$M$4)/($M$2*(E14*6894.8)*$I$3))*1013000000000</f>
        <v>8.2142857142857129E-2</v>
      </c>
      <c r="J14" t="e">
        <f>((($B$14/100^3*1^2/60)*$M$3*$M$4)/($M$2*(F14*6894.8)*$G$3))*1013000000000</f>
        <v>#DIV/0!</v>
      </c>
      <c r="K14">
        <f>((($A$14/100^3*1^2/60)*$O$3*$M$4)/($M$2*(C14*6894.8))*$G$3)*1013000000000</f>
        <v>0.548497522274075</v>
      </c>
      <c r="L14" t="e">
        <f>((($A$14/100^3*1^2/60)*$O$3*$M$4)/($M$2*(D14*6894.8)))*1013000000000</f>
        <v>#DIV/0!</v>
      </c>
      <c r="M14">
        <f>((($A$14/100^3*1^2/60)*$O$3*$M$4)/($M$2*(E14*6894.8)*$I$3))*1013000000000</f>
        <v>2.9407142857142854E-2</v>
      </c>
      <c r="O14">
        <f>(B14/(A14+B14))</f>
        <v>4.7619047619047616E-2</v>
      </c>
      <c r="P14">
        <f>1-O14</f>
        <v>0.95238095238095233</v>
      </c>
    </row>
    <row r="15" spans="1:16" x14ac:dyDescent="0.45">
      <c r="A15">
        <v>25</v>
      </c>
      <c r="B15">
        <v>0.5</v>
      </c>
      <c r="E15">
        <v>0.25</v>
      </c>
      <c r="G15" t="e">
        <f>((($B$15/100^3*1^2/60)*$M$3*$M$4)/($M$2*(C15*6894.8)*$G$3))*1013000000000</f>
        <v>#DIV/0!</v>
      </c>
      <c r="H15" t="e">
        <f>((($B$15/100^3*1^2/60)*$M$3*$M$4)/($M$2*(D15*6894.8)*$H$3))*1013000000000</f>
        <v>#DIV/0!</v>
      </c>
      <c r="I15">
        <f>((($B$15/100^3*1^2/60)*$M$3*$M$4)/($M$2*(E15*6894.8)*$I$3))*1013000000000</f>
        <v>4.5999999999999992E-2</v>
      </c>
      <c r="J15" t="e">
        <f>((($B$15/100^3*1^2/60)*$M$3*$M$4)/($M$2*(F15*6894.8)*$I$3))*1013000000000</f>
        <v>#DIV/0!</v>
      </c>
      <c r="K15" t="e">
        <f>((($A$15/100^3*1^2/60)*$O$3*$M$4)/($M$2*(C15*6894.8))*$G$3)*1013000000000</f>
        <v>#DIV/0!</v>
      </c>
      <c r="L15" t="e">
        <f>((($A$15/100^3*1^2/60)*$O$3*$M$4)/($M$2*(D15*6894.8))*$H$3)*1013000000000</f>
        <v>#DIV/0!</v>
      </c>
      <c r="M15">
        <f>((($A$14/100^3*1^2/60)*$O$3*$M$4)/($M$2*(E15*6894.8)*$I$3))*1013000000000</f>
        <v>3.2936E-2</v>
      </c>
      <c r="N15" t="e">
        <f>((($A$15/100^3*1^2/60)*$O$3*$M$4)/($M$2*(F15*6894.8))*$G$3)*1013000000000</f>
        <v>#DIV/0!</v>
      </c>
      <c r="O15">
        <f>(B15/(A15+B15))</f>
        <v>1.9607843137254902E-2</v>
      </c>
      <c r="P15">
        <f>1-O15</f>
        <v>0.98039215686274506</v>
      </c>
    </row>
    <row r="19" spans="10:10" x14ac:dyDescent="0.45">
      <c r="J19">
        <f>787*2</f>
        <v>1574</v>
      </c>
    </row>
  </sheetData>
  <mergeCells count="3">
    <mergeCell ref="C9:F9"/>
    <mergeCell ref="G9:J9"/>
    <mergeCell ref="K9:N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7" sqref="B7"/>
    </sheetView>
  </sheetViews>
  <sheetFormatPr defaultRowHeight="14.25" x14ac:dyDescent="0.45"/>
  <cols>
    <col min="11" max="11" width="11.265625" bestFit="1" customWidth="1"/>
    <col min="12" max="12" width="11.59765625" bestFit="1" customWidth="1"/>
  </cols>
  <sheetData>
    <row r="1" spans="1:14" ht="15.75" x14ac:dyDescent="0.5">
      <c r="A1" s="1"/>
      <c r="B1" s="1"/>
      <c r="C1" s="1" t="s">
        <v>0</v>
      </c>
      <c r="D1" s="1"/>
      <c r="E1" s="1" t="s">
        <v>1</v>
      </c>
      <c r="F1" s="2"/>
      <c r="G1" s="2"/>
    </row>
    <row r="2" spans="1:14" ht="15.75" x14ac:dyDescent="0.5">
      <c r="A2" s="1" t="s">
        <v>2</v>
      </c>
      <c r="B2" s="3">
        <v>5</v>
      </c>
      <c r="C2" s="1" t="s">
        <v>3</v>
      </c>
      <c r="D2" s="4">
        <f>B2/100^3*1^2/60</f>
        <v>8.3333333333333338E-8</v>
      </c>
      <c r="E2" s="1" t="s">
        <v>4</v>
      </c>
      <c r="F2" s="5"/>
      <c r="G2" s="4" t="s">
        <v>5</v>
      </c>
      <c r="H2" s="6"/>
      <c r="L2" t="s">
        <v>6</v>
      </c>
    </row>
    <row r="3" spans="1:14" ht="15.75" x14ac:dyDescent="0.5">
      <c r="A3" s="1" t="s">
        <v>7</v>
      </c>
      <c r="B3" s="1"/>
      <c r="C3" s="1"/>
      <c r="D3" s="6">
        <f>(D2*D6*D7)/(D5*D4)</f>
        <v>5.9653753083390714E-13</v>
      </c>
      <c r="E3" s="1" t="s">
        <v>8</v>
      </c>
      <c r="F3" s="7"/>
      <c r="G3" s="4">
        <f>D3*1013000000000</f>
        <v>0.60429251873474799</v>
      </c>
      <c r="H3" s="6" t="s">
        <v>9</v>
      </c>
    </row>
    <row r="4" spans="1:14" ht="15.75" x14ac:dyDescent="0.5">
      <c r="A4" s="1" t="s">
        <v>10</v>
      </c>
      <c r="B4" s="3">
        <v>1.7669999999999999</v>
      </c>
      <c r="C4" s="1" t="s">
        <v>11</v>
      </c>
      <c r="D4" s="4">
        <f>B4*2.54^2/100^2</f>
        <v>1.13999772E-3</v>
      </c>
      <c r="E4" s="1" t="s">
        <v>8</v>
      </c>
      <c r="F4" s="8"/>
      <c r="G4" s="4">
        <f>G3*1000</f>
        <v>604.292518734748</v>
      </c>
      <c r="H4" s="6" t="s">
        <v>12</v>
      </c>
      <c r="K4" s="14" t="s">
        <v>13</v>
      </c>
      <c r="L4" s="14"/>
    </row>
    <row r="5" spans="1:14" ht="15.75" x14ac:dyDescent="0.5">
      <c r="A5" s="1" t="s">
        <v>14</v>
      </c>
      <c r="B5" s="9">
        <v>1.58</v>
      </c>
      <c r="C5" s="1" t="s">
        <v>15</v>
      </c>
      <c r="D5" s="4">
        <f>B5*6894.8</f>
        <v>10893.784000000001</v>
      </c>
      <c r="E5" s="1" t="s">
        <v>16</v>
      </c>
      <c r="F5" s="2"/>
      <c r="G5" s="1"/>
      <c r="H5" s="6"/>
      <c r="K5" s="15" t="s">
        <v>17</v>
      </c>
      <c r="L5" s="15"/>
      <c r="M5" s="14" t="s">
        <v>18</v>
      </c>
      <c r="N5" s="14"/>
    </row>
    <row r="6" spans="1:14" ht="15.75" x14ac:dyDescent="0.5">
      <c r="A6" s="1" t="s">
        <v>19</v>
      </c>
      <c r="B6" s="9">
        <v>1</v>
      </c>
      <c r="C6" s="1" t="s">
        <v>20</v>
      </c>
      <c r="D6" s="4">
        <f>B6/1000</f>
        <v>1E-3</v>
      </c>
      <c r="E6" s="1" t="s">
        <v>21</v>
      </c>
      <c r="F6" s="2"/>
      <c r="G6" s="2"/>
      <c r="H6" t="s">
        <v>22</v>
      </c>
      <c r="I6" t="s">
        <v>23</v>
      </c>
      <c r="J6" t="s">
        <v>24</v>
      </c>
      <c r="K6" t="s">
        <v>25</v>
      </c>
      <c r="L6" t="s">
        <v>26</v>
      </c>
      <c r="M6" s="10" t="s">
        <v>27</v>
      </c>
    </row>
    <row r="7" spans="1:14" ht="15.75" x14ac:dyDescent="0.5">
      <c r="A7" s="1" t="s">
        <v>28</v>
      </c>
      <c r="B7" s="9">
        <v>3.5</v>
      </c>
      <c r="C7" s="1" t="s">
        <v>29</v>
      </c>
      <c r="D7" s="4">
        <f>B7*2.54/100</f>
        <v>8.8900000000000007E-2</v>
      </c>
      <c r="E7" s="1" t="s">
        <v>30</v>
      </c>
      <c r="F7" s="2"/>
      <c r="G7" s="2"/>
      <c r="H7">
        <v>1</v>
      </c>
      <c r="I7">
        <v>10</v>
      </c>
      <c r="J7">
        <v>0.245</v>
      </c>
      <c r="K7">
        <f>J7*6894.8</f>
        <v>1689.2260000000001</v>
      </c>
      <c r="L7">
        <f>I7/100^3*1^2/60</f>
        <v>1.6666666666666668E-7</v>
      </c>
      <c r="M7">
        <f>(L7*$D$6*$D$7)/($D$3*$D$4*K7)</f>
        <v>12.897959183673469</v>
      </c>
    </row>
    <row r="8" spans="1:14" x14ac:dyDescent="0.45">
      <c r="G8" s="10"/>
      <c r="H8">
        <f>(I8)/(I8+I16)</f>
        <v>9.0909090909090912E-2</v>
      </c>
      <c r="I8" s="10">
        <v>0.1</v>
      </c>
      <c r="J8">
        <v>4.2469999999999999</v>
      </c>
      <c r="K8">
        <f>J8*6894.8</f>
        <v>29282.2156</v>
      </c>
      <c r="L8">
        <f>I8/100^3*1^2/60</f>
        <v>1.6666666666666669E-9</v>
      </c>
      <c r="M8">
        <f>(L8*$D$6*$D$7)/($D$3*$D$4*K8)</f>
        <v>7.440546267953852E-3</v>
      </c>
    </row>
    <row r="9" spans="1:14" x14ac:dyDescent="0.45">
      <c r="H9">
        <f>(I9)/(I9+I17)</f>
        <v>0.2</v>
      </c>
      <c r="I9">
        <v>0.1</v>
      </c>
      <c r="J9">
        <v>2</v>
      </c>
      <c r="K9">
        <f>J9*6894.8</f>
        <v>13789.6</v>
      </c>
      <c r="L9">
        <f>I9/100^3*1^2/60</f>
        <v>1.6666666666666669E-9</v>
      </c>
      <c r="M9">
        <f>(L9*$D$6*$D$7)/($D$3*$D$4*K9)</f>
        <v>1.5800000000000005E-2</v>
      </c>
    </row>
    <row r="10" spans="1:14" x14ac:dyDescent="0.45">
      <c r="H10" t="e">
        <f>(I10)/(I10+I18)</f>
        <v>#DIV/0!</v>
      </c>
      <c r="K10">
        <f>J10*6894.8</f>
        <v>0</v>
      </c>
      <c r="L10">
        <f>I10/100^3*1^2/60</f>
        <v>0</v>
      </c>
      <c r="M10" t="e">
        <f>(L10*$D$6*$D$7)/($D$3*$D$4*K10)</f>
        <v>#DIV/0!</v>
      </c>
    </row>
    <row r="11" spans="1:14" x14ac:dyDescent="0.45">
      <c r="H11" t="e">
        <f>(I11)/(I11+I19)</f>
        <v>#DIV/0!</v>
      </c>
      <c r="K11">
        <f>J11*6894.8</f>
        <v>0</v>
      </c>
      <c r="L11">
        <f>I11/100^3*1^2/60</f>
        <v>0</v>
      </c>
      <c r="M11" t="e">
        <f>(L11*$D$6*$D$7)/($D$3*$D$4*K11)</f>
        <v>#DIV/0!</v>
      </c>
    </row>
    <row r="14" spans="1:14" x14ac:dyDescent="0.45">
      <c r="G14" s="10"/>
      <c r="H14" s="10" t="s">
        <v>31</v>
      </c>
      <c r="I14" s="10" t="s">
        <v>32</v>
      </c>
      <c r="J14" t="s">
        <v>33</v>
      </c>
      <c r="K14" t="s">
        <v>34</v>
      </c>
      <c r="L14" s="14" t="s">
        <v>27</v>
      </c>
      <c r="M14" s="14"/>
    </row>
    <row r="15" spans="1:14" x14ac:dyDescent="0.45">
      <c r="H15">
        <v>0</v>
      </c>
      <c r="I15">
        <v>0</v>
      </c>
      <c r="J15">
        <v>0</v>
      </c>
      <c r="K15">
        <v>0</v>
      </c>
      <c r="L15">
        <f>I15/100^3*1^2/60</f>
        <v>0</v>
      </c>
      <c r="M15">
        <v>0</v>
      </c>
    </row>
    <row r="16" spans="1:14" ht="17.649999999999999" x14ac:dyDescent="0.5">
      <c r="B16" s="11"/>
      <c r="H16">
        <f>1-H8</f>
        <v>0.90909090909090906</v>
      </c>
      <c r="I16">
        <v>1</v>
      </c>
      <c r="J16">
        <v>0.70569999999999999</v>
      </c>
      <c r="K16">
        <f>J16*6894.8</f>
        <v>4865.6603599999999</v>
      </c>
      <c r="L16">
        <f>I16/100^3*1^2/60</f>
        <v>1.6666666666666667E-8</v>
      </c>
      <c r="M16">
        <f>(L16*$D$17*$D$7)/($D$3*$D$4*K16)</f>
        <v>4.6121581408530539E-3</v>
      </c>
      <c r="N16" s="2"/>
    </row>
    <row r="17" spans="2:14" ht="15.75" x14ac:dyDescent="0.5">
      <c r="B17" t="s">
        <v>35</v>
      </c>
      <c r="C17">
        <v>1.03E-2</v>
      </c>
      <c r="D17">
        <f>C17/1000</f>
        <v>1.03E-5</v>
      </c>
      <c r="E17" t="s">
        <v>21</v>
      </c>
      <c r="H17">
        <f>1-H9</f>
        <v>0.8</v>
      </c>
      <c r="I17">
        <v>0.4</v>
      </c>
      <c r="J17">
        <v>2</v>
      </c>
      <c r="K17">
        <f>J17*6894.8</f>
        <v>13789.6</v>
      </c>
      <c r="L17">
        <f>I17/100^3*1^2/60</f>
        <v>6.6666666666666676E-9</v>
      </c>
      <c r="M17">
        <f>(L17*$D$17*$D$7)/($D$3*$D$4*K17)</f>
        <v>6.5096000000000012E-4</v>
      </c>
      <c r="N17" s="2"/>
    </row>
    <row r="18" spans="2:14" ht="15.75" x14ac:dyDescent="0.5">
      <c r="H18" t="e">
        <f>1-H10</f>
        <v>#DIV/0!</v>
      </c>
      <c r="L18">
        <f>I18/100^3*1^2/60</f>
        <v>0</v>
      </c>
      <c r="M18" t="e">
        <f>(L18*$D$17*$D$7)/($D$3*$D$4*K18)</f>
        <v>#DIV/0!</v>
      </c>
      <c r="N18" s="2"/>
    </row>
    <row r="19" spans="2:14" ht="15.75" x14ac:dyDescent="0.5">
      <c r="H19" t="e">
        <f>1-H11</f>
        <v>#DIV/0!</v>
      </c>
      <c r="L19">
        <f>I19/100^3*1^2/60</f>
        <v>0</v>
      </c>
      <c r="M19" t="e">
        <f>(L19*$D$17*$D$7)/($D$3*$D$4*K19)</f>
        <v>#DIV/0!</v>
      </c>
      <c r="N19" s="2"/>
    </row>
    <row r="20" spans="2:14" ht="15.75" x14ac:dyDescent="0.5">
      <c r="K20" s="2"/>
      <c r="L20" s="8"/>
      <c r="M20" s="2"/>
      <c r="N20" s="8"/>
    </row>
    <row r="21" spans="2:14" ht="15.75" x14ac:dyDescent="0.5">
      <c r="K21" s="2"/>
      <c r="L21" s="8"/>
      <c r="M21" s="2"/>
      <c r="N21" s="8"/>
    </row>
  </sheetData>
  <mergeCells count="4">
    <mergeCell ref="K4:L4"/>
    <mergeCell ref="K5:L5"/>
    <mergeCell ref="M5:N5"/>
    <mergeCell ref="L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G3" sqref="G3"/>
    </sheetView>
  </sheetViews>
  <sheetFormatPr defaultRowHeight="14.25" x14ac:dyDescent="0.45"/>
  <cols>
    <col min="6" max="6" width="10" bestFit="1" customWidth="1"/>
  </cols>
  <sheetData>
    <row r="1" spans="1:15" x14ac:dyDescent="0.45">
      <c r="A1" t="s">
        <v>36</v>
      </c>
      <c r="B1">
        <v>2</v>
      </c>
      <c r="C1">
        <v>3</v>
      </c>
      <c r="D1">
        <v>4</v>
      </c>
      <c r="E1">
        <v>5</v>
      </c>
      <c r="F1" t="s">
        <v>42</v>
      </c>
      <c r="G1" t="s">
        <v>40</v>
      </c>
      <c r="H1" t="s">
        <v>37</v>
      </c>
      <c r="I1" t="s">
        <v>38</v>
      </c>
      <c r="J1" t="s">
        <v>39</v>
      </c>
    </row>
    <row r="2" spans="1:15" x14ac:dyDescent="0.45">
      <c r="A2">
        <v>15</v>
      </c>
      <c r="B2">
        <v>0.87</v>
      </c>
      <c r="C2">
        <v>0.69</v>
      </c>
      <c r="D2">
        <v>0.74</v>
      </c>
      <c r="E2">
        <v>0.75</v>
      </c>
      <c r="F2">
        <f>AVERAGE(B2:E2)</f>
        <v>0.76249999999999996</v>
      </c>
      <c r="G2">
        <f>((($A$2/100^3*1^2/60)*$M$3*$M$4)/($M$2*(B2*6894.8)))*1013000000000</f>
        <v>3.2923523434513853</v>
      </c>
      <c r="H2">
        <f>((($A$2/100^3*1^2/60)*$M$3*$M$4)/($M$2*(C2*6894.8)))*1013000000000</f>
        <v>4.1512268678300082</v>
      </c>
      <c r="I2">
        <f>((($A$2/100^3*1^2/60)*$M$3*$M$4)/($M$2*(D2*6894.8)))*1013000000000</f>
        <v>3.8707385659496021</v>
      </c>
      <c r="J2">
        <f>((($A$2/100^3*1^2/60)*$M$3*$M$4)/($M$2*(E2*6894.8)))*1013000000000</f>
        <v>3.8191287184036073</v>
      </c>
      <c r="L2" t="s">
        <v>10</v>
      </c>
      <c r="M2">
        <v>1.13999772E-3</v>
      </c>
    </row>
    <row r="3" spans="1:15" x14ac:dyDescent="0.45">
      <c r="A3">
        <v>20</v>
      </c>
      <c r="B3">
        <v>1.095</v>
      </c>
      <c r="C3">
        <v>0.85</v>
      </c>
      <c r="D3">
        <v>0.92</v>
      </c>
      <c r="E3">
        <v>0.95</v>
      </c>
      <c r="F3">
        <f>AVERAGE(B3:E3)</f>
        <v>0.95374999999999988</v>
      </c>
      <c r="G3">
        <f>((($A$3/100^3*1^2/60)*$M$3*$M$4)/($M$2*(B3*6894.8)))*1013000000000</f>
        <v>3.4877887839302351</v>
      </c>
      <c r="H3">
        <f>((($A$3/100^3*1^2/60)*$M$3*$M$4)/($M$2*(C3*6894.8)))*1013000000000</f>
        <v>4.4930926098865971</v>
      </c>
      <c r="I3">
        <f>((($A$3/100^3*1^2/60)*$M$3*$M$4)/($M$2*(D3*6894.8)))*1013000000000</f>
        <v>4.1512268678300082</v>
      </c>
      <c r="J3">
        <f>((($A$3/100^3*1^2/60)*$M$3*$M$4)/($M$2*(E3*6894.8)))*1013000000000</f>
        <v>4.0201354930564293</v>
      </c>
      <c r="L3" t="s">
        <v>48</v>
      </c>
      <c r="M3">
        <v>1E-3</v>
      </c>
      <c r="N3" t="s">
        <v>49</v>
      </c>
      <c r="O3">
        <v>1.7900000000000001E-5</v>
      </c>
    </row>
    <row r="4" spans="1:15" x14ac:dyDescent="0.45">
      <c r="A4">
        <v>25</v>
      </c>
      <c r="B4">
        <v>1.36</v>
      </c>
      <c r="C4">
        <v>1.04</v>
      </c>
      <c r="D4">
        <v>1.1100000000000001</v>
      </c>
      <c r="E4">
        <v>1.1399999999999999</v>
      </c>
      <c r="F4">
        <f>AVERAGE(B4:E4)</f>
        <v>1.1625000000000001</v>
      </c>
      <c r="G4">
        <f>((($A$4/100^3*1^2/60)*$M$3*$M$4)/($M$2*(B4*6894.8)))*1013000000000</f>
        <v>3.5102286014739033</v>
      </c>
      <c r="H4">
        <f>((($A$4/100^3*1^2/60)*$M$3*$M$4)/($M$2*(C4*6894.8)))*1013000000000</f>
        <v>4.5902989403889514</v>
      </c>
      <c r="I4">
        <f>((($A$4/100^3*1^2/60)*$M$3*$M$4)/($M$2*(D4*6894.8)))*1013000000000</f>
        <v>4.3008206288328905</v>
      </c>
      <c r="J4">
        <f>((($A$4/100^3*1^2/60)*$M$3*$M$4)/($M$2*(E4*6894.8)))*1013000000000</f>
        <v>4.1876411386004468</v>
      </c>
      <c r="L4" t="s">
        <v>28</v>
      </c>
      <c r="M4">
        <v>8.8900000000000007E-2</v>
      </c>
    </row>
    <row r="5" spans="1:15" x14ac:dyDescent="0.45">
      <c r="A5">
        <v>30</v>
      </c>
      <c r="B5">
        <v>1.71</v>
      </c>
      <c r="C5">
        <v>1.29</v>
      </c>
      <c r="D5">
        <v>1.43</v>
      </c>
      <c r="E5" s="12">
        <v>1.5</v>
      </c>
      <c r="F5">
        <f>AVERAGE(B5:E5)</f>
        <v>1.4824999999999999</v>
      </c>
      <c r="G5">
        <f>((($A$5/100^3*1^2/60)*$M$3*$M$4)/($M$2*(B5*6894.8)))*1013000000000</f>
        <v>3.3501129108803576</v>
      </c>
      <c r="H5">
        <f>((($A$5/100^3*1^2/60)*$M$3*$M$4)/($M$2*(C5*6894.8)))*1013000000000</f>
        <v>4.440847346980938</v>
      </c>
      <c r="I5">
        <f>((($A$5/100^3*1^2/60)*$M$3*$M$4)/($M$2*(D5*6894.8)))*1013000000000</f>
        <v>4.0060790752485396</v>
      </c>
      <c r="J5">
        <f>((($A$5/100^3*1^2/60)*$M$3*$M$4)/($M$2*(E5*6894.8)))*1013000000000</f>
        <v>3.8191287184036073</v>
      </c>
    </row>
    <row r="6" spans="1:15" x14ac:dyDescent="0.45">
      <c r="G6">
        <f>AVERAGE(G2:G5)</f>
        <v>3.4101206599339702</v>
      </c>
      <c r="H6">
        <f>AVERAGE(H2:H5)</f>
        <v>4.4188664412716232</v>
      </c>
      <c r="I6">
        <f>AVERAGE(I2:I5)</f>
        <v>4.0822162844652601</v>
      </c>
      <c r="J6">
        <f>AVERAGE(J2:J5)</f>
        <v>3.9615085171160231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H16" sqref="H16"/>
    </sheetView>
  </sheetViews>
  <sheetFormatPr defaultRowHeight="14.25" x14ac:dyDescent="0.45"/>
  <cols>
    <col min="1" max="1" width="11.86328125" bestFit="1" customWidth="1"/>
    <col min="2" max="2" width="13.796875" bestFit="1" customWidth="1"/>
  </cols>
  <sheetData>
    <row r="1" spans="1:19" x14ac:dyDescent="0.45">
      <c r="C1" s="14" t="s">
        <v>45</v>
      </c>
      <c r="D1" s="14"/>
      <c r="E1" s="14"/>
      <c r="F1" s="14"/>
      <c r="G1" s="14" t="s">
        <v>57</v>
      </c>
      <c r="H1" s="14"/>
      <c r="I1" s="14"/>
      <c r="J1" s="14"/>
      <c r="K1" s="14" t="s">
        <v>58</v>
      </c>
      <c r="L1" s="14"/>
      <c r="M1" s="14"/>
      <c r="N1" s="14"/>
      <c r="P1" t="s">
        <v>10</v>
      </c>
      <c r="Q1">
        <v>1.13999772E-3</v>
      </c>
    </row>
    <row r="2" spans="1:19" x14ac:dyDescent="0.45">
      <c r="A2" t="s">
        <v>43</v>
      </c>
      <c r="B2" t="s">
        <v>44</v>
      </c>
      <c r="C2" t="s">
        <v>50</v>
      </c>
      <c r="D2" t="s">
        <v>51</v>
      </c>
      <c r="E2" t="s">
        <v>52</v>
      </c>
      <c r="F2" t="s">
        <v>53</v>
      </c>
      <c r="G2" t="s">
        <v>50</v>
      </c>
      <c r="H2" t="s">
        <v>54</v>
      </c>
      <c r="I2" t="s">
        <v>55</v>
      </c>
      <c r="J2" t="s">
        <v>56</v>
      </c>
      <c r="K2" t="s">
        <v>50</v>
      </c>
      <c r="L2" t="s">
        <v>54</v>
      </c>
      <c r="M2" t="s">
        <v>55</v>
      </c>
      <c r="N2" t="s">
        <v>56</v>
      </c>
      <c r="P2" t="s">
        <v>48</v>
      </c>
      <c r="Q2">
        <v>1E-3</v>
      </c>
      <c r="R2" t="s">
        <v>49</v>
      </c>
      <c r="S2">
        <v>1.7900000000000001E-5</v>
      </c>
    </row>
    <row r="3" spans="1:19" x14ac:dyDescent="0.45">
      <c r="A3">
        <v>0</v>
      </c>
      <c r="B3">
        <v>20</v>
      </c>
      <c r="C3">
        <v>1.095</v>
      </c>
      <c r="D3">
        <v>0.85</v>
      </c>
      <c r="E3">
        <v>0.92</v>
      </c>
      <c r="F3">
        <v>0.95</v>
      </c>
      <c r="G3">
        <v>3.41</v>
      </c>
      <c r="H3">
        <v>4.4180000000000001</v>
      </c>
      <c r="I3">
        <v>4.0819999999999999</v>
      </c>
      <c r="J3">
        <v>3.96</v>
      </c>
      <c r="K3">
        <v>0</v>
      </c>
      <c r="L3">
        <v>0</v>
      </c>
      <c r="M3">
        <v>0</v>
      </c>
      <c r="N3">
        <v>0</v>
      </c>
      <c r="P3" t="s">
        <v>28</v>
      </c>
      <c r="Q3">
        <v>8.8900000000000007E-2</v>
      </c>
    </row>
    <row r="4" spans="1:19" x14ac:dyDescent="0.45">
      <c r="A4">
        <v>10</v>
      </c>
      <c r="B4">
        <v>10</v>
      </c>
      <c r="C4">
        <v>1.01</v>
      </c>
      <c r="D4">
        <v>1</v>
      </c>
      <c r="E4">
        <v>0.94</v>
      </c>
      <c r="F4">
        <v>1.1599999999999999</v>
      </c>
      <c r="G4">
        <f>((($B$4/100^3*1^2/60)*$Q$2*$Q$3)/($Q$1*(C4*6894.8)))*1013000000000</f>
        <v>1.8906577813879242</v>
      </c>
      <c r="H4">
        <f>((($B$4/100^3*1^2/60)*$Q$2*$Q$3)/($Q$1*(D4*6894.8)))*1013000000000</f>
        <v>1.9095643592018037</v>
      </c>
      <c r="I4">
        <f>((($B$4/100^3*1^2/60)*$Q$2*$Q$3)/($Q$1*(E4*6894.8)))*1013000000000</f>
        <v>2.0314514459593656</v>
      </c>
      <c r="J4">
        <f>((($B$4/100^3*1^2/60)*$Q$2*$Q$3)/($Q$1*(F4*6894.8)))*1013000000000</f>
        <v>1.6461761717256929</v>
      </c>
      <c r="K4">
        <f>((($A$4/100^3*1^2/60)*$S$2*$Q$3)/($Q$1*(C4*6894.8)))*1013000000000</f>
        <v>3.3842774286843853E-2</v>
      </c>
      <c r="L4">
        <f>((($A$4/100^3*1^2/60)*$S$2*$Q$3)/($Q$1*(D4*6894.8)))*1013000000000</f>
        <v>3.4181202029712289E-2</v>
      </c>
      <c r="M4">
        <f>((($A$4/100^3*1^2/60)*$S$2*$Q$3)/($Q$1*(E4*6894.8)))*1013000000000</f>
        <v>3.6362980882672646E-2</v>
      </c>
      <c r="N4">
        <f>((($A$4/100^3*1^2/60)*$S$2*$Q$3)/($Q$1*(F4*6894.8)))*1013000000000</f>
        <v>2.9466553473889903E-2</v>
      </c>
    </row>
    <row r="5" spans="1:19" x14ac:dyDescent="0.45">
      <c r="A5">
        <v>25</v>
      </c>
      <c r="B5">
        <v>5</v>
      </c>
      <c r="C5">
        <v>0.6</v>
      </c>
      <c r="D5">
        <v>0.52</v>
      </c>
      <c r="E5">
        <v>0.61</v>
      </c>
      <c r="F5">
        <v>1.41</v>
      </c>
      <c r="G5">
        <f>((($B$5/100^3*1^2/60)*$Q$2*$Q$3)/($Q$1*(C5*6894.8)))*1013000000000</f>
        <v>1.5913036326681698</v>
      </c>
      <c r="H5">
        <f>((($B$5/100^3*1^2/60)*$Q$2*$Q$3)/($Q$1*(D5*6894.8)))*1013000000000</f>
        <v>1.8361195761555804</v>
      </c>
      <c r="I5">
        <f>((($B$5/100^3*1^2/60)*$Q$2*$Q$3)/($Q$1*(E5*6894.8)))*1013000000000</f>
        <v>1.5652166878703309</v>
      </c>
      <c r="J5">
        <f>((($B$5/100^3*1^2/60)*$Q$2*$Q$3)/($Q$1*(F5*6894.8)))*1013000000000</f>
        <v>0.67715048198645522</v>
      </c>
      <c r="K5">
        <f>((($A$5/100^3*1^2/60)*$S$2*$Q$3)/($Q$1*(C5*6894.8)))*1013000000000</f>
        <v>0.14242167512380122</v>
      </c>
      <c r="L5">
        <f>((($A$5/100^3*1^2/60)*$S$2*$Q$3)/($Q$1*(D5*6894.8)))*1013000000000</f>
        <v>0.16433270206592446</v>
      </c>
      <c r="M5">
        <f>((($A$5/100^3*1^2/60)*$S$2*$Q$3)/($Q$1*(E5*6894.8)))*1013000000000</f>
        <v>0.14008689356439463</v>
      </c>
      <c r="N5">
        <f>((($A$5/100^3*1^2/60)*$S$2*$Q$3)/($Q$1*(F5*6894.8)))*1013000000000</f>
        <v>6.0604968137787756E-2</v>
      </c>
    </row>
    <row r="6" spans="1:19" x14ac:dyDescent="0.45">
      <c r="A6">
        <v>25</v>
      </c>
      <c r="B6">
        <v>2</v>
      </c>
      <c r="C6">
        <v>0.34</v>
      </c>
      <c r="D6">
        <v>0</v>
      </c>
      <c r="E6">
        <v>0.37</v>
      </c>
      <c r="F6">
        <v>1.1100000000000001</v>
      </c>
      <c r="G6">
        <f>((($B$6/100^3*1^2/60)*$Q$2*$Q$3)/($Q$1*(C6*6894.8)))*1013000000000</f>
        <v>1.1232731524716491</v>
      </c>
      <c r="H6" t="e">
        <f>((($B$6/100^3*1^2/60)*$Q$2*$Q$3)/($Q$1*(D6*6894.8)))*1013000000000</f>
        <v>#DIV/0!</v>
      </c>
      <c r="I6">
        <f>((($B$6/100^3*1^2/60)*$Q$2*$Q$3)/($Q$1*(E6*6894.8)))*1013000000000</f>
        <v>1.0321969509198941</v>
      </c>
      <c r="J6">
        <f>((($B$6/100^3*1^2/60)*$Q$2*$Q$3)/($Q$1*(F6*6894.8)))*1013000000000</f>
        <v>0.34406565030663128</v>
      </c>
      <c r="K6">
        <f>((($A$6/100^3*1^2/60)*$S$2*$Q$3)/($Q$1*(C6*6894.8)))*1013000000000</f>
        <v>0.25133236786553148</v>
      </c>
      <c r="L6" t="e">
        <f>((($A$6/100^3*1^2/60)*$S$2*$Q$3)/($Q$1*(D6*6894.8)))*1013000000000</f>
        <v>#DIV/0!</v>
      </c>
      <c r="M6">
        <f>((($A$6/100^3*1^2/60)*$S$2*$Q$3)/($Q$1*(E6*6894.8)))*1013000000000</f>
        <v>0.2309540677683263</v>
      </c>
      <c r="N6">
        <f>((($A$6/100^3*1^2/60)*$S$2*$Q$3)/($Q$1*(F6*6894.8)))*1013000000000</f>
        <v>7.6984689256108754E-2</v>
      </c>
    </row>
    <row r="7" spans="1:19" x14ac:dyDescent="0.45">
      <c r="A7">
        <v>25</v>
      </c>
      <c r="B7">
        <v>0.5</v>
      </c>
      <c r="C7">
        <v>0.9</v>
      </c>
      <c r="D7">
        <v>0</v>
      </c>
      <c r="E7">
        <v>0.33</v>
      </c>
      <c r="F7">
        <v>0.97</v>
      </c>
      <c r="G7">
        <f>((($B$7/100^3*1^2/60)*$Q$2*$Q$3)/($Q$1*(C7*6894.8)))*1013000000000</f>
        <v>0.10608690884454465</v>
      </c>
      <c r="H7" t="e">
        <f>((($B$7/100^3*1^2/60)*$Q$2*$Q$3)/($Q$1*(D7*6894.8)))*1013000000000</f>
        <v>#DIV/0!</v>
      </c>
      <c r="I7">
        <f>((($B$7/100^3*1^2/60)*$Q$2*$Q$3)/($Q$1*(E7*6894.8)))*1013000000000</f>
        <v>0.28932793321239453</v>
      </c>
      <c r="J7">
        <f>((($B$7/100^3*1^2/60)*$Q$2*$Q$3)/($Q$1*(F7*6894.8)))*1013000000000</f>
        <v>9.8431152536175445E-2</v>
      </c>
      <c r="K7">
        <f>((($A$7/100^3*1^2/60)*$S$2*$Q$3)/($Q$1*(C7*6894.8)))*1013000000000</f>
        <v>9.4947783415867459E-2</v>
      </c>
      <c r="L7" t="e">
        <f>((($A$7/100^3*1^2/60)*$S$2*$Q$3)/($Q$1*(D7*6894.8)))*1013000000000</f>
        <v>#DIV/0!</v>
      </c>
      <c r="M7">
        <f>((($A$7/100^3*1^2/60)*$S$2*$Q$3)/($Q$1*(E7*6894.8)))*1013000000000</f>
        <v>0.25894850022509308</v>
      </c>
      <c r="N7">
        <f>((($A$7/100^3*1^2/60)*$S$2*$Q$3)/($Q$1*(F7*6894.8)))*1013000000000</f>
        <v>8.8095881519877031E-2</v>
      </c>
    </row>
    <row r="13" spans="1:19" x14ac:dyDescent="0.45">
      <c r="A13" s="14" t="s">
        <v>59</v>
      </c>
      <c r="B13" s="14"/>
      <c r="C13" s="14" t="s">
        <v>46</v>
      </c>
      <c r="D13" s="14"/>
      <c r="E13" s="14"/>
      <c r="F13" s="14"/>
      <c r="G13" s="14" t="s">
        <v>47</v>
      </c>
      <c r="H13" s="14"/>
      <c r="I13" s="14"/>
      <c r="J13" s="14"/>
    </row>
    <row r="14" spans="1:19" x14ac:dyDescent="0.45">
      <c r="A14" t="s">
        <v>22</v>
      </c>
      <c r="B14" t="s">
        <v>31</v>
      </c>
      <c r="C14">
        <v>2</v>
      </c>
      <c r="D14">
        <v>3</v>
      </c>
      <c r="E14">
        <v>4</v>
      </c>
      <c r="F14">
        <v>5</v>
      </c>
      <c r="G14">
        <v>2</v>
      </c>
      <c r="H14">
        <v>3</v>
      </c>
      <c r="I14">
        <v>4</v>
      </c>
      <c r="J14">
        <v>5</v>
      </c>
    </row>
    <row r="15" spans="1:19" x14ac:dyDescent="0.45">
      <c r="A15">
        <f>(B3/(A3+B3))</f>
        <v>1</v>
      </c>
      <c r="B15">
        <f>1-A15</f>
        <v>0</v>
      </c>
      <c r="C15">
        <v>1</v>
      </c>
      <c r="D15">
        <v>1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</row>
    <row r="16" spans="1:19" x14ac:dyDescent="0.45">
      <c r="A16">
        <f>(B4/(A4+B4))</f>
        <v>0.5</v>
      </c>
      <c r="B16">
        <f>1-A16</f>
        <v>0.5</v>
      </c>
      <c r="C16">
        <f>(G4/$G$3)</f>
        <v>0.55444509718120938</v>
      </c>
      <c r="D16">
        <f>(H4/$H$3)</f>
        <v>0.43222371190624798</v>
      </c>
      <c r="E16">
        <f>(I4/$I$3)</f>
        <v>0.49766081478671376</v>
      </c>
      <c r="F16">
        <f>(J4/$J$3)</f>
        <v>0.41570105346608405</v>
      </c>
      <c r="G16">
        <f>(K4/$G$3)</f>
        <v>9.924567239543651E-3</v>
      </c>
      <c r="H16">
        <f>(L4/$H$3)</f>
        <v>7.7368044431218395E-3</v>
      </c>
      <c r="I16">
        <f>(M4/$I$3)</f>
        <v>8.9081285846821772E-3</v>
      </c>
      <c r="J16">
        <f>(N4/$J$3)</f>
        <v>7.441048857042905E-3</v>
      </c>
    </row>
    <row r="17" spans="1:10" x14ac:dyDescent="0.45">
      <c r="A17">
        <f>(B5/(A5+B5))</f>
        <v>0.16666666666666666</v>
      </c>
      <c r="B17">
        <f>1-A17</f>
        <v>0.83333333333333337</v>
      </c>
      <c r="C17">
        <f>(G5/$G$3)</f>
        <v>0.46665795679418465</v>
      </c>
      <c r="D17">
        <f>(H5/$H$3)</f>
        <v>0.41559972298677689</v>
      </c>
      <c r="E17">
        <f>(I5/$I$3)</f>
        <v>0.38344357860615652</v>
      </c>
      <c r="F17">
        <f>(J5/$J$3)</f>
        <v>0.17099759646122606</v>
      </c>
      <c r="G17">
        <f>(K5/$G$3)</f>
        <v>4.1765887133079535E-2</v>
      </c>
      <c r="H17">
        <f>(L5/$H$3)</f>
        <v>3.7196175207316537E-2</v>
      </c>
      <c r="I17">
        <f>(M5/$I$3)</f>
        <v>3.431820028525101E-2</v>
      </c>
      <c r="J17">
        <f>(N5/$J$3)</f>
        <v>1.5304284883279737E-2</v>
      </c>
    </row>
    <row r="18" spans="1:10" x14ac:dyDescent="0.45">
      <c r="A18">
        <f>(B6/(A6+B6))</f>
        <v>7.407407407407407E-2</v>
      </c>
      <c r="B18">
        <f>1-A18</f>
        <v>0.92592592592592593</v>
      </c>
      <c r="C18">
        <f>(G6/$G$3)</f>
        <v>0.32940561656060086</v>
      </c>
      <c r="D18" t="e">
        <f>(H6/$H$3)</f>
        <v>#DIV/0!</v>
      </c>
      <c r="E18">
        <f>(I6/$I$3)</f>
        <v>0.25286549508081679</v>
      </c>
      <c r="F18">
        <f>(J6/$J$3)</f>
        <v>8.6885265228947295E-2</v>
      </c>
      <c r="G18">
        <f>(K6/$G$3)</f>
        <v>7.370450670543445E-2</v>
      </c>
      <c r="H18" t="e">
        <f>(L6/$H$3)</f>
        <v>#DIV/0!</v>
      </c>
      <c r="I18">
        <f>(M6/$I$3)</f>
        <v>5.6578654524332757E-2</v>
      </c>
      <c r="J18">
        <f>(N6/$J$3)</f>
        <v>1.9440578094976957E-2</v>
      </c>
    </row>
    <row r="19" spans="1:10" x14ac:dyDescent="0.45">
      <c r="A19">
        <f>(B7/(A7+B7))</f>
        <v>1.9607843137254902E-2</v>
      </c>
      <c r="B19">
        <f>1-A19</f>
        <v>0.98039215686274506</v>
      </c>
      <c r="C19">
        <f>(G7/$G$3)</f>
        <v>3.1110530452945644E-2</v>
      </c>
      <c r="D19" t="e">
        <f>(H7/$H$3)</f>
        <v>#DIV/0!</v>
      </c>
      <c r="E19">
        <f>(I7/$I$3)</f>
        <v>7.0878964530228947E-2</v>
      </c>
      <c r="F19">
        <f>(J7/$J$3)</f>
        <v>2.4856351650549356E-2</v>
      </c>
      <c r="G19">
        <f>(K7/$G$3)</f>
        <v>2.784392475538635E-2</v>
      </c>
      <c r="H19" t="e">
        <f>(L7/$H$3)</f>
        <v>#DIV/0!</v>
      </c>
      <c r="I19">
        <f>(M7/$I$3)</f>
        <v>6.3436673254554904E-2</v>
      </c>
      <c r="J19">
        <f>(N7/$J$3)</f>
        <v>2.2246434727241676E-2</v>
      </c>
    </row>
  </sheetData>
  <mergeCells count="6">
    <mergeCell ref="A13:B13"/>
    <mergeCell ref="C1:F1"/>
    <mergeCell ref="G13:J13"/>
    <mergeCell ref="G1:J1"/>
    <mergeCell ref="K1:N1"/>
    <mergeCell ref="C13:F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G1" workbookViewId="0">
      <selection activeCell="T29" sqref="T29"/>
    </sheetView>
  </sheetViews>
  <sheetFormatPr defaultRowHeight="14.25" x14ac:dyDescent="0.45"/>
  <cols>
    <col min="1" max="1" width="11.86328125" bestFit="1" customWidth="1"/>
    <col min="2" max="2" width="13.796875" bestFit="1" customWidth="1"/>
    <col min="16" max="16" width="11.265625" bestFit="1" customWidth="1"/>
    <col min="19" max="19" width="9.73046875" bestFit="1" customWidth="1"/>
  </cols>
  <sheetData>
    <row r="1" spans="1:19" x14ac:dyDescent="0.45">
      <c r="C1" s="14" t="s">
        <v>45</v>
      </c>
      <c r="D1" s="14"/>
      <c r="E1" s="14"/>
      <c r="F1" s="14"/>
      <c r="G1" s="14" t="s">
        <v>57</v>
      </c>
      <c r="H1" s="14"/>
      <c r="I1" s="14"/>
      <c r="J1" s="14"/>
      <c r="K1" s="14" t="s">
        <v>58</v>
      </c>
      <c r="L1" s="14"/>
      <c r="M1" s="14"/>
      <c r="N1" s="14"/>
      <c r="P1" t="s">
        <v>10</v>
      </c>
      <c r="Q1">
        <v>1.13999772E-3</v>
      </c>
    </row>
    <row r="2" spans="1:19" x14ac:dyDescent="0.45">
      <c r="A2" t="s">
        <v>43</v>
      </c>
      <c r="B2" t="s">
        <v>44</v>
      </c>
      <c r="C2" t="s">
        <v>61</v>
      </c>
      <c r="D2" t="s">
        <v>50</v>
      </c>
      <c r="E2" t="s">
        <v>53</v>
      </c>
      <c r="G2" t="s">
        <v>61</v>
      </c>
      <c r="H2" t="s">
        <v>50</v>
      </c>
      <c r="I2" t="s">
        <v>53</v>
      </c>
      <c r="K2" t="s">
        <v>61</v>
      </c>
      <c r="L2" t="s">
        <v>50</v>
      </c>
      <c r="M2" t="s">
        <v>53</v>
      </c>
      <c r="P2" t="s">
        <v>48</v>
      </c>
      <c r="Q2">
        <v>1E-3</v>
      </c>
      <c r="R2" t="s">
        <v>49</v>
      </c>
      <c r="S2">
        <v>1.0699999999999999E-5</v>
      </c>
    </row>
    <row r="3" spans="1:19" x14ac:dyDescent="0.45">
      <c r="A3">
        <v>0</v>
      </c>
      <c r="B3">
        <v>5</v>
      </c>
      <c r="C3">
        <v>1.29</v>
      </c>
      <c r="D3">
        <v>1.88</v>
      </c>
      <c r="E3">
        <v>1.17</v>
      </c>
      <c r="G3">
        <f>((($B$3/100^3*1^2/60)*$Q$2*$Q$3)/($Q$1*(C3*6894.8)))*1013000000000</f>
        <v>0.74014122449682307</v>
      </c>
      <c r="H3">
        <f>((($B$3/100^3*1^2/60)*$Q$2*$Q$3)/($Q$1*(D3*6894.8)))*1013000000000</f>
        <v>0.50786286148984139</v>
      </c>
      <c r="I3">
        <f>((($B$3/100^3*1^2/60)*$Q$2*$Q$3)/($Q$1*(E3*6894.8)))*1013000000000</f>
        <v>0.81605314495803583</v>
      </c>
      <c r="K3">
        <v>0</v>
      </c>
      <c r="L3">
        <v>0</v>
      </c>
      <c r="M3">
        <v>0</v>
      </c>
      <c r="P3" t="s">
        <v>28</v>
      </c>
      <c r="Q3">
        <v>8.8900000000000007E-2</v>
      </c>
    </row>
    <row r="4" spans="1:19" x14ac:dyDescent="0.45">
      <c r="A4">
        <v>0.25</v>
      </c>
      <c r="B4">
        <v>5</v>
      </c>
      <c r="C4">
        <v>1.5</v>
      </c>
      <c r="D4">
        <v>2</v>
      </c>
      <c r="E4">
        <v>1.5</v>
      </c>
      <c r="G4">
        <f>((($B$4/100^3*1^2/60)*$Q$2*$Q$3)/($Q$1*(C4*6894.8)))*1013000000000</f>
        <v>0.63652145306726793</v>
      </c>
      <c r="H4">
        <f>((($B$4/100^3*1^2/60)*$Q$2*$Q$3)/($Q$1*(D4*6894.8)))*1013000000000</f>
        <v>0.47739108980045092</v>
      </c>
      <c r="I4">
        <f>((($B$4/100^3*1^2/60)*$Q$2*$Q$3)/($Q$1*(E4*6894.8)))*1013000000000</f>
        <v>0.63652145306726793</v>
      </c>
      <c r="K4">
        <f>((($A$4/100^3*1^2/60)*$S$2*$Q$3)/($Q$1*(C4*6894.8)))*1013000000000</f>
        <v>3.4053897739098828E-4</v>
      </c>
      <c r="L4">
        <f>((($A$4/100^3*1^2/60)*$S$2*$Q$3)/($Q$1*(D4*6894.8)))*1013000000000</f>
        <v>2.5540423304324121E-4</v>
      </c>
      <c r="M4">
        <f>((($A$4/100^3*1^2/60)*$S$2*$Q$3)/($Q$1*(E4*6894.8)))*1013000000000</f>
        <v>3.4053897739098828E-4</v>
      </c>
      <c r="P4" t="s">
        <v>60</v>
      </c>
      <c r="Q4">
        <v>1013000000000</v>
      </c>
    </row>
    <row r="5" spans="1:19" x14ac:dyDescent="0.45">
      <c r="A5">
        <v>0.59</v>
      </c>
      <c r="B5">
        <v>1</v>
      </c>
      <c r="C5">
        <v>0.40379999999999999</v>
      </c>
      <c r="D5">
        <v>0.3155</v>
      </c>
      <c r="E5">
        <v>0.86939999999999995</v>
      </c>
      <c r="G5">
        <f>((($B$5/100^3*1^2/60)*$Q$2*$Q$3)/($Q$1*(C5*6894.8)))*1013000000000</f>
        <v>0.47289855354180377</v>
      </c>
      <c r="H5">
        <f>((($B$5/100^3*1^2/60)*$Q$2*$Q$3)/($Q$1*(D5*6894.8)))*1013000000000</f>
        <v>0.60525019309090433</v>
      </c>
      <c r="I5">
        <f>((($B$5/100^3*1^2/60)*$Q$2*$Q$3)/($Q$1*(E5*6894.8)))*1013000000000</f>
        <v>0.21964163321851896</v>
      </c>
      <c r="K5">
        <f>((($A$5/100^3*1^2/60)*$S$2*$Q$3)/($Q$1*(C5*6894.8)))*1013000000000</f>
        <v>2.9854085685094064E-3</v>
      </c>
      <c r="L5">
        <f>((($A$5/100^3*1^2/60)*$S$2*$Q$3)/($Q$1*(D5*6894.8)))*1013000000000</f>
        <v>3.8209444689828783E-3</v>
      </c>
      <c r="M5">
        <f>((($A$5/100^3*1^2/60)*$S$2*$Q$3)/($Q$1*(E5*6894.8)))*1013000000000</f>
        <v>1.3865976305085098E-3</v>
      </c>
    </row>
    <row r="6" spans="1:19" x14ac:dyDescent="0.45">
      <c r="A6">
        <v>0.59</v>
      </c>
      <c r="B6">
        <v>0.5</v>
      </c>
      <c r="C6">
        <v>0.28170000000000001</v>
      </c>
      <c r="D6">
        <v>0.1062</v>
      </c>
      <c r="E6">
        <v>0.42109999999999997</v>
      </c>
      <c r="G6">
        <f>((($B$6/100^3*1^2/60)*$Q$2*$Q$3)/($Q$1*(C6*6894.8)))*1013000000000</f>
        <v>0.33893581100493497</v>
      </c>
      <c r="H6">
        <f>((($B$6/100^3*1^2/60)*$Q$2*$Q$3)/($Q$1*(D6*6894.8)))*1013000000000</f>
        <v>0.89904160037749703</v>
      </c>
      <c r="I6">
        <f>((($B$6/100^3*1^2/60)*$Q$2*$Q$3)/($Q$1*(E6*6894.8)))*1013000000000</f>
        <v>0.2267352599384711</v>
      </c>
      <c r="K6">
        <f>((($A$6/100^3*1^2/60)*$S$2*$Q$3)/($Q$1*(C6*6894.8)))*1013000000000</f>
        <v>4.2794035497483078E-3</v>
      </c>
      <c r="L6">
        <f>((($A$6/100^3*1^2/60)*$S$2*$Q$3)/($Q$1*(D6*6894.8)))*1013000000000</f>
        <v>1.1351299246366273E-2</v>
      </c>
      <c r="M6">
        <f>((($A$6/100^3*1^2/60)*$S$2*$Q$3)/($Q$1*(E6*6894.8)))*1013000000000</f>
        <v>2.8627593919831359E-3</v>
      </c>
    </row>
    <row r="7" spans="1:19" x14ac:dyDescent="0.45">
      <c r="A7">
        <v>0.59</v>
      </c>
      <c r="B7">
        <v>0.1</v>
      </c>
      <c r="C7">
        <v>0.3256</v>
      </c>
      <c r="D7">
        <v>0.70569999999999999</v>
      </c>
      <c r="E7">
        <v>0.94030000000000002</v>
      </c>
      <c r="G7">
        <f>((($B$7/100^3*1^2/60)*$Q$2*$Q$3)/($Q$1*(C7*6894.8)))*1013000000000</f>
        <v>5.8647554029539431E-2</v>
      </c>
      <c r="H7">
        <f>((($B$7/100^3*1^2/60)*$Q$2*$Q$3)/($Q$1*(D7*6894.8)))*1013000000000</f>
        <v>2.7059152036301597E-2</v>
      </c>
      <c r="I7">
        <f>((($B$7/100^3*1^2/60)*$Q$2*$Q$3)/($Q$1*(E7*6894.8)))*1013000000000</f>
        <v>2.0308033172410974E-2</v>
      </c>
      <c r="K7">
        <f>((($A$7/100^3*1^2/60)*$S$2*$Q$3)/($Q$1*(C7*6894.8)))*1013000000000</f>
        <v>3.7024200858848228E-3</v>
      </c>
      <c r="L7">
        <f t="shared" ref="L7:M7" si="0">((($A$7/100^3*1^2/60)*$S$2*$Q$3)/($Q$1*(D7*6894.8)))*1013000000000</f>
        <v>1.7082442680517193E-3</v>
      </c>
      <c r="M7">
        <f t="shared" si="0"/>
        <v>1.2820461341743043E-3</v>
      </c>
    </row>
    <row r="8" spans="1:19" x14ac:dyDescent="0.45">
      <c r="A8">
        <v>0.59</v>
      </c>
      <c r="B8">
        <v>0</v>
      </c>
      <c r="D8">
        <v>1.0800000000000001E-2</v>
      </c>
      <c r="H8">
        <f>((($B$8/100^3*1^2/60)*$Q$2*$Q$3)/($Q$1*(D8*6894.8)))*1013000000000</f>
        <v>0</v>
      </c>
      <c r="L8">
        <f>((($A$8/100^3*1^2/60)*$S$2*$Q$3)/($Q$1*(D8*6894.8)))*1013000000000</f>
        <v>0.11162110925593503</v>
      </c>
    </row>
    <row r="13" spans="1:19" x14ac:dyDescent="0.45">
      <c r="A13" s="14" t="s">
        <v>59</v>
      </c>
      <c r="B13" s="14"/>
      <c r="C13" s="14" t="s">
        <v>46</v>
      </c>
      <c r="D13" s="14"/>
      <c r="E13" s="14"/>
      <c r="F13" s="14"/>
      <c r="G13" s="14" t="s">
        <v>47</v>
      </c>
      <c r="H13" s="14"/>
      <c r="I13" s="14"/>
      <c r="J13" s="14"/>
    </row>
    <row r="14" spans="1:19" x14ac:dyDescent="0.45">
      <c r="A14" t="s">
        <v>22</v>
      </c>
      <c r="B14" t="s">
        <v>31</v>
      </c>
      <c r="C14" t="s">
        <v>61</v>
      </c>
      <c r="D14" t="s">
        <v>50</v>
      </c>
      <c r="E14" t="s">
        <v>53</v>
      </c>
      <c r="G14" t="s">
        <v>61</v>
      </c>
      <c r="H14" t="s">
        <v>50</v>
      </c>
      <c r="I14" t="s">
        <v>53</v>
      </c>
    </row>
    <row r="15" spans="1:19" x14ac:dyDescent="0.45">
      <c r="A15">
        <f t="shared" ref="A15:A20" si="1">(B3/(A3+B3))</f>
        <v>1</v>
      </c>
      <c r="B15">
        <f t="shared" ref="B15:B20" si="2">1-A15</f>
        <v>0</v>
      </c>
      <c r="C15">
        <v>1</v>
      </c>
      <c r="D15">
        <v>1</v>
      </c>
      <c r="E15">
        <v>1</v>
      </c>
      <c r="G15">
        <v>0</v>
      </c>
      <c r="H15">
        <v>0</v>
      </c>
      <c r="I15">
        <v>0</v>
      </c>
      <c r="J15">
        <v>0</v>
      </c>
      <c r="K15">
        <v>1</v>
      </c>
    </row>
    <row r="16" spans="1:19" x14ac:dyDescent="0.45">
      <c r="A16">
        <f t="shared" si="1"/>
        <v>0.95238095238095233</v>
      </c>
      <c r="B16">
        <f t="shared" si="2"/>
        <v>4.7619047619047672E-2</v>
      </c>
      <c r="C16">
        <f>(G4/$G$3)</f>
        <v>0.8600000000000001</v>
      </c>
      <c r="D16">
        <f>(H4/$H$3)</f>
        <v>0.94000000000000006</v>
      </c>
      <c r="E16">
        <f>(I4/$I$3)</f>
        <v>0.78</v>
      </c>
      <c r="G16">
        <f>(K4/$G$3)</f>
        <v>4.6009999999999996E-4</v>
      </c>
      <c r="H16">
        <f>(L4/$H$3)</f>
        <v>5.0289999999999992E-4</v>
      </c>
      <c r="I16">
        <f>(M4/$I$3)</f>
        <v>4.172999999999999E-4</v>
      </c>
      <c r="J16">
        <v>4.172999999999999E-4</v>
      </c>
      <c r="K16">
        <v>0.95238095238095233</v>
      </c>
    </row>
    <row r="17" spans="1:11" x14ac:dyDescent="0.45">
      <c r="A17">
        <f t="shared" si="1"/>
        <v>0.62893081761006298</v>
      </c>
      <c r="B17">
        <f t="shared" si="2"/>
        <v>0.37106918238993702</v>
      </c>
      <c r="C17">
        <f>(G5/$G$3)</f>
        <v>0.63893016344725118</v>
      </c>
      <c r="D17">
        <f>(H5/$H$3)</f>
        <v>1.1917591125198095</v>
      </c>
      <c r="E17">
        <f>(I5/$I$3)</f>
        <v>0.2691511387163561</v>
      </c>
      <c r="G17">
        <f>(K5/$G$3)</f>
        <v>4.033566121842495E-3</v>
      </c>
      <c r="H17">
        <f>(L5/$H$3)</f>
        <v>7.5235752773375559E-3</v>
      </c>
      <c r="I17">
        <f>(M5/$I$3)</f>
        <v>1.6991511387163555E-3</v>
      </c>
      <c r="J17">
        <v>1.6991511387163555E-3</v>
      </c>
      <c r="K17">
        <v>0.62893081761006298</v>
      </c>
    </row>
    <row r="18" spans="1:11" x14ac:dyDescent="0.45">
      <c r="A18">
        <f t="shared" si="1"/>
        <v>0.45871559633027531</v>
      </c>
      <c r="B18">
        <f t="shared" si="2"/>
        <v>0.54128440366972463</v>
      </c>
      <c r="C18">
        <f>(G6/$G$3)</f>
        <v>0.45793397231096916</v>
      </c>
      <c r="D18">
        <f>(H6/$H$3)</f>
        <v>1.7702448210922788</v>
      </c>
      <c r="E18">
        <f>(I6/$I$3)</f>
        <v>0.27784374257895983</v>
      </c>
      <c r="G18">
        <f>(K6/$G$3)</f>
        <v>5.7818743343982949E-3</v>
      </c>
      <c r="H18">
        <f>(L6/$H$3)</f>
        <v>2.2351111111111103E-2</v>
      </c>
      <c r="I18">
        <f>(M6/$I$3)</f>
        <v>3.5080550938019466E-3</v>
      </c>
      <c r="J18">
        <v>3.5080550938019466E-3</v>
      </c>
      <c r="K18">
        <v>0.45871559633027531</v>
      </c>
    </row>
    <row r="19" spans="1:11" x14ac:dyDescent="0.45">
      <c r="A19">
        <f t="shared" si="1"/>
        <v>0.14492753623188409</v>
      </c>
      <c r="B19">
        <f t="shared" si="2"/>
        <v>0.85507246376811596</v>
      </c>
      <c r="C19">
        <f>(G7/$G$3)</f>
        <v>7.9238329238329255E-2</v>
      </c>
      <c r="D19">
        <f>(H7/$H$3)</f>
        <v>5.3280430777950971E-2</v>
      </c>
      <c r="E19">
        <f>(I7/$I$3)</f>
        <v>2.4885674784643201E-2</v>
      </c>
      <c r="G19">
        <f>(K7/$G$3)</f>
        <v>5.0023157248157242E-3</v>
      </c>
      <c r="H19">
        <f>(L7/$H$3)</f>
        <v>3.3635935950120438E-3</v>
      </c>
      <c r="I19">
        <f>(M7/$I$3)</f>
        <v>1.5710326491545246E-3</v>
      </c>
    </row>
    <row r="20" spans="1:11" x14ac:dyDescent="0.45">
      <c r="A20">
        <f t="shared" si="1"/>
        <v>0</v>
      </c>
      <c r="B20">
        <f t="shared" si="2"/>
        <v>1</v>
      </c>
      <c r="D20">
        <f>(H8/$H$3)</f>
        <v>0</v>
      </c>
      <c r="I20">
        <f>(L8/$H$3)</f>
        <v>0.21978592592592588</v>
      </c>
      <c r="J20">
        <v>0.21</v>
      </c>
      <c r="K20">
        <v>0.144927</v>
      </c>
    </row>
  </sheetData>
  <mergeCells count="6">
    <mergeCell ref="C1:F1"/>
    <mergeCell ref="G1:J1"/>
    <mergeCell ref="K1:N1"/>
    <mergeCell ref="A13:B13"/>
    <mergeCell ref="C13:F13"/>
    <mergeCell ref="G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 phase perm</vt:lpstr>
      <vt:lpstr>Sheet1</vt:lpstr>
      <vt:lpstr>Single Phase Perm _ use</vt:lpstr>
      <vt:lpstr>Rel Perm no hydrate</vt:lpstr>
      <vt:lpstr>Rel Perm with hydrate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Zach Murphy</cp:lastModifiedBy>
  <dcterms:created xsi:type="dcterms:W3CDTF">2018-06-06T21:12:44Z</dcterms:created>
  <dcterms:modified xsi:type="dcterms:W3CDTF">2018-08-16T03:49:11Z</dcterms:modified>
</cp:coreProperties>
</file>