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600" windowHeight="8505" firstSheet="3" activeTab="6"/>
  </bookViews>
  <sheets>
    <sheet name="Info" sheetId="3" r:id="rId1"/>
    <sheet name="1. NaCl Table" sheetId="1" r:id="rId2"/>
    <sheet name="2. SeaSalt Table" sheetId="5" r:id="rId3"/>
    <sheet name="3. Salt Soln Calc Sheet" sheetId="2" r:id="rId4"/>
    <sheet name="4. Resedimentation Calc Sheet" sheetId="7" r:id="rId5"/>
    <sheet name="5. CRS Setup Calcs" sheetId="6" r:id="rId6"/>
    <sheet name="6. Saltwater Viscosity" sheetId="8" r:id="rId7"/>
  </sheets>
  <definedNames>
    <definedName name="_xlnm.Print_Area" localSheetId="1">'1. NaCl Table'!$A$1:$F$34</definedName>
    <definedName name="_xlnm.Print_Area" localSheetId="2">'2. SeaSalt Table'!$A$1:$F$34</definedName>
  </definedNames>
  <calcPr calcId="125725"/>
</workbook>
</file>

<file path=xl/calcChain.xml><?xml version="1.0" encoding="utf-8"?>
<calcChain xmlns="http://schemas.openxmlformats.org/spreadsheetml/2006/main">
  <c r="B39" i="6"/>
  <c r="B36"/>
  <c r="B38"/>
  <c r="B26"/>
  <c r="C24" i="7"/>
  <c r="C16"/>
  <c r="C18"/>
  <c r="C19"/>
  <c r="C20"/>
  <c r="C21"/>
  <c r="C25"/>
  <c r="C26"/>
  <c r="C29"/>
  <c r="B24"/>
  <c r="B25"/>
  <c r="B26"/>
  <c r="B21"/>
  <c r="B20"/>
  <c r="B16"/>
  <c r="B18"/>
  <c r="B19"/>
  <c r="B6"/>
  <c r="B29"/>
  <c r="C26" i="6"/>
  <c r="C33"/>
  <c r="C35"/>
  <c r="C36"/>
  <c r="C22"/>
  <c r="C38"/>
  <c r="C39"/>
  <c r="C40"/>
  <c r="C41"/>
  <c r="C48"/>
  <c r="C52"/>
  <c r="B33"/>
  <c r="B35"/>
  <c r="B22"/>
  <c r="B40"/>
  <c r="B41"/>
  <c r="B48"/>
  <c r="B52"/>
  <c r="C51"/>
  <c r="B51"/>
  <c r="C11"/>
  <c r="C50"/>
  <c r="B11"/>
  <c r="B50"/>
  <c r="C43"/>
  <c r="C44"/>
  <c r="C49"/>
  <c r="B43"/>
  <c r="B44"/>
  <c r="B49"/>
  <c r="C45"/>
  <c r="C47"/>
  <c r="B45"/>
  <c r="B47"/>
  <c r="C42"/>
  <c r="B42"/>
  <c r="B17" i="2"/>
  <c r="B13"/>
  <c r="B11"/>
  <c r="K21" i="5"/>
  <c r="J21"/>
  <c r="I21"/>
  <c r="H21"/>
  <c r="E21"/>
  <c r="D21"/>
  <c r="C21"/>
  <c r="K20"/>
  <c r="J20"/>
  <c r="I20"/>
  <c r="H20"/>
  <c r="E20"/>
  <c r="D20"/>
  <c r="C20"/>
  <c r="K19"/>
  <c r="J19"/>
  <c r="I19"/>
  <c r="H19"/>
  <c r="E19"/>
  <c r="D19"/>
  <c r="C19"/>
  <c r="K18"/>
  <c r="J18"/>
  <c r="I18"/>
  <c r="H18"/>
  <c r="E18"/>
  <c r="D18"/>
  <c r="C18"/>
  <c r="K17"/>
  <c r="J17"/>
  <c r="I17"/>
  <c r="H17"/>
  <c r="E17"/>
  <c r="D17"/>
  <c r="C17"/>
  <c r="K16"/>
  <c r="J16"/>
  <c r="I16"/>
  <c r="H16"/>
  <c r="E16"/>
  <c r="D16"/>
  <c r="C16"/>
  <c r="K15"/>
  <c r="J15"/>
  <c r="I15"/>
  <c r="H15"/>
  <c r="E15"/>
  <c r="D15"/>
  <c r="C15"/>
  <c r="K14"/>
  <c r="J14"/>
  <c r="I14"/>
  <c r="H14"/>
  <c r="E14"/>
  <c r="D14"/>
  <c r="C14"/>
  <c r="K13"/>
  <c r="J13"/>
  <c r="I13"/>
  <c r="H13"/>
  <c r="E13"/>
  <c r="D13"/>
  <c r="C13"/>
  <c r="K12"/>
  <c r="J12"/>
  <c r="I12"/>
  <c r="H12"/>
  <c r="E12"/>
  <c r="D12"/>
  <c r="C12"/>
  <c r="K11"/>
  <c r="J11"/>
  <c r="I11"/>
  <c r="H11"/>
  <c r="E11"/>
  <c r="D11"/>
  <c r="C11"/>
  <c r="K10"/>
  <c r="J10"/>
  <c r="I10"/>
  <c r="H10"/>
  <c r="E10"/>
  <c r="D10"/>
  <c r="C10"/>
  <c r="C6"/>
  <c r="C21" i="1"/>
  <c r="H21"/>
  <c r="I21"/>
  <c r="J21"/>
  <c r="K21"/>
  <c r="D21"/>
  <c r="E21"/>
  <c r="C20"/>
  <c r="H20"/>
  <c r="I20"/>
  <c r="J20"/>
  <c r="K20"/>
  <c r="D20"/>
  <c r="E20"/>
  <c r="C19"/>
  <c r="H19"/>
  <c r="I19"/>
  <c r="J19"/>
  <c r="K19"/>
  <c r="D19"/>
  <c r="E19"/>
  <c r="C18"/>
  <c r="H18"/>
  <c r="I18"/>
  <c r="J18"/>
  <c r="K18"/>
  <c r="D18"/>
  <c r="E18"/>
  <c r="C17"/>
  <c r="H17"/>
  <c r="I17"/>
  <c r="J17"/>
  <c r="K17"/>
  <c r="D17"/>
  <c r="E17"/>
  <c r="C16"/>
  <c r="H16"/>
  <c r="I16"/>
  <c r="J16"/>
  <c r="K16"/>
  <c r="D16"/>
  <c r="E16"/>
  <c r="C15"/>
  <c r="H15"/>
  <c r="I15"/>
  <c r="J15"/>
  <c r="K15"/>
  <c r="D15"/>
  <c r="E15"/>
  <c r="C14"/>
  <c r="H14"/>
  <c r="I14"/>
  <c r="J14"/>
  <c r="K14"/>
  <c r="D14"/>
  <c r="E14"/>
  <c r="C13"/>
  <c r="H13"/>
  <c r="I13"/>
  <c r="J13"/>
  <c r="K13"/>
  <c r="D13"/>
  <c r="E13"/>
  <c r="C12"/>
  <c r="H12"/>
  <c r="I12"/>
  <c r="J12"/>
  <c r="K12"/>
  <c r="D12"/>
  <c r="E12"/>
  <c r="C11"/>
  <c r="H11"/>
  <c r="I11"/>
  <c r="J11"/>
  <c r="K11"/>
  <c r="D11"/>
  <c r="E11"/>
  <c r="C10"/>
  <c r="H10"/>
  <c r="I10"/>
  <c r="J10"/>
  <c r="K10"/>
  <c r="D10"/>
  <c r="E10"/>
  <c r="C6"/>
  <c r="B14" i="2" l="1"/>
  <c r="B18" s="1"/>
</calcChain>
</file>

<file path=xl/sharedStrings.xml><?xml version="1.0" encoding="utf-8"?>
<sst xmlns="http://schemas.openxmlformats.org/spreadsheetml/2006/main" count="265" uniqueCount="167">
  <si>
    <t>MIT Geotechnical Laboratory</t>
  </si>
  <si>
    <t>Notes and Assumptions</t>
  </si>
  <si>
    <t>Equations:</t>
  </si>
  <si>
    <t>g/L</t>
  </si>
  <si>
    <r>
      <t>g/cm</t>
    </r>
    <r>
      <rPr>
        <vertAlign val="superscript"/>
        <sz val="16"/>
        <color theme="1"/>
        <rFont val="Calibri"/>
        <family val="2"/>
        <scheme val="minor"/>
      </rPr>
      <t>3</t>
    </r>
  </si>
  <si>
    <t>Density of Pure Water</t>
  </si>
  <si>
    <t>deg C</t>
  </si>
  <si>
    <r>
      <t>g/cm</t>
    </r>
    <r>
      <rPr>
        <vertAlign val="superscript"/>
        <sz val="11"/>
        <color theme="1"/>
        <rFont val="Calibri"/>
        <family val="2"/>
        <scheme val="minor"/>
      </rPr>
      <t>3</t>
    </r>
  </si>
  <si>
    <t>Mass of Water</t>
  </si>
  <si>
    <t>g</t>
  </si>
  <si>
    <r>
      <t xml:space="preserve">Density of Salt Water at 20 </t>
    </r>
    <r>
      <rPr>
        <b/>
        <sz val="16"/>
        <color theme="1"/>
        <rFont val="Calibri"/>
        <family val="2"/>
      </rPr>
      <t>° C</t>
    </r>
  </si>
  <si>
    <t>Temperature</t>
  </si>
  <si>
    <r>
      <t>1)Table values are computed for a temperature of 20</t>
    </r>
    <r>
      <rPr>
        <sz val="11"/>
        <color theme="1"/>
        <rFont val="Calibri"/>
        <family val="2"/>
      </rPr>
      <t>°C.</t>
    </r>
  </si>
  <si>
    <r>
      <t>1) Density of Pure Water (</t>
    </r>
    <r>
      <rPr>
        <sz val="11"/>
        <color theme="1"/>
        <rFont val="Calibri"/>
        <family val="2"/>
      </rPr>
      <t>ρ)</t>
    </r>
    <r>
      <rPr>
        <sz val="11"/>
        <color theme="1"/>
        <rFont val="Calibri"/>
        <family val="2"/>
        <scheme val="minor"/>
      </rPr>
      <t xml:space="preserve"> as a function of temperature (t):</t>
    </r>
  </si>
  <si>
    <t>Check</t>
  </si>
  <si>
    <r>
      <t>VH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O</t>
    </r>
  </si>
  <si>
    <r>
      <t>MH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0</t>
    </r>
  </si>
  <si>
    <r>
      <t>V</t>
    </r>
    <r>
      <rPr>
        <b/>
        <vertAlign val="subscript"/>
        <sz val="16"/>
        <color theme="1"/>
        <rFont val="Calibri"/>
        <family val="2"/>
        <scheme val="minor"/>
      </rPr>
      <t>salt</t>
    </r>
  </si>
  <si>
    <r>
      <t>cm</t>
    </r>
    <r>
      <rPr>
        <vertAlign val="superscript"/>
        <sz val="16"/>
        <color theme="1"/>
        <rFont val="Calibri"/>
        <family val="2"/>
        <scheme val="minor"/>
      </rPr>
      <t>3</t>
    </r>
  </si>
  <si>
    <t>Salt Concentration = Mass of Salt</t>
  </si>
  <si>
    <r>
      <t xml:space="preserve">Density of Salt Water at 20 </t>
    </r>
    <r>
      <rPr>
        <b/>
        <sz val="14"/>
        <color theme="1"/>
        <rFont val="Calibri"/>
        <family val="2"/>
      </rPr>
      <t>° C</t>
    </r>
  </si>
  <si>
    <r>
      <t>g/cm</t>
    </r>
    <r>
      <rPr>
        <vertAlign val="superscript"/>
        <sz val="14"/>
        <color theme="1"/>
        <rFont val="Calibri"/>
        <family val="2"/>
        <scheme val="minor"/>
      </rPr>
      <t>3</t>
    </r>
  </si>
  <si>
    <t xml:space="preserve">   This makes the density of salt water an additive function of salt and water components. </t>
  </si>
  <si>
    <r>
      <t>Temperature of initial specimen (C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</si>
  <si>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Mass Density of water (g/cm3)(@TT)</t>
  </si>
  <si>
    <t>Mass Density of water (g/cm3)(@20C)</t>
  </si>
  <si>
    <t>Mass Density of salt water (g/cm3) (@TT)</t>
  </si>
  <si>
    <t>Salt Concentration  (g/l)</t>
  </si>
  <si>
    <t>CONSTANTS</t>
  </si>
  <si>
    <t>RESULTS</t>
  </si>
  <si>
    <t>PARAMETERS</t>
  </si>
  <si>
    <t>Volume of Solution (L)</t>
  </si>
  <si>
    <t>Mass of Salt (g)</t>
  </si>
  <si>
    <t>Mass of Water (g)</t>
  </si>
  <si>
    <t>Salt Solution Mixing Calculations</t>
  </si>
  <si>
    <t>Yellow Cells are inputs</t>
  </si>
  <si>
    <t>Grey cells are calculations</t>
  </si>
  <si>
    <t>Blue cells are Results</t>
  </si>
  <si>
    <t>Salt Mixing Guide Spread sheet</t>
  </si>
  <si>
    <t>NaCl Sodium Chloride Solution Mixing Guide</t>
  </si>
  <si>
    <t>Sea Salt Solution Mixing Guide</t>
  </si>
  <si>
    <t>Type of Salt</t>
  </si>
  <si>
    <t>List of Salt types:</t>
  </si>
  <si>
    <t>NaCl</t>
  </si>
  <si>
    <t>Sea Salt</t>
  </si>
  <si>
    <t>*********</t>
  </si>
  <si>
    <t>DO NOT EDIT THIS SECTION!!!!!!</t>
  </si>
  <si>
    <t>**************************************************************************</t>
  </si>
  <si>
    <t>Computation of Phase Relationship for Laboratory Test Specimens</t>
  </si>
  <si>
    <t>Input data into yellow cells</t>
  </si>
  <si>
    <t>See notes below</t>
  </si>
  <si>
    <t>Test Number</t>
  </si>
  <si>
    <t>INITIAL MEASUREMENTS</t>
  </si>
  <si>
    <t>Wet soil and cutter mass (g)</t>
  </si>
  <si>
    <t>Cutter Mass (g)</t>
  </si>
  <si>
    <t>recess tool (g)</t>
  </si>
  <si>
    <t>Initial Wet Mass (g)</t>
  </si>
  <si>
    <t>Initial Height (cm)</t>
  </si>
  <si>
    <t>Area (cm2)</t>
  </si>
  <si>
    <t>FINAL MEASUREMENTS</t>
  </si>
  <si>
    <t>Mass plate (g)</t>
  </si>
  <si>
    <t>Mass wet section and tare (g)</t>
  </si>
  <si>
    <t>Mass dry section and tare (g)</t>
  </si>
  <si>
    <t>Mass oven tare (g)</t>
  </si>
  <si>
    <t>Final water content (%)</t>
  </si>
  <si>
    <t>Mass dry washings and tare (g)</t>
  </si>
  <si>
    <t>Dry Mass (soil and salt) (g)</t>
  </si>
  <si>
    <t>Stress (ksc)</t>
  </si>
  <si>
    <t>Specific Gravity of grains</t>
  </si>
  <si>
    <t>INTERMEDIATES</t>
  </si>
  <si>
    <t>Final Mass of water (g)</t>
  </si>
  <si>
    <t>Final Mass of salt (g)</t>
  </si>
  <si>
    <t>Mass of soil grains (g)</t>
  </si>
  <si>
    <t>Volume of grains (cc)</t>
  </si>
  <si>
    <t>Height of solids (cm)</t>
  </si>
  <si>
    <t>Initial Mass of fluid (g)</t>
  </si>
  <si>
    <t>Initial Fluid Volume (cc)</t>
  </si>
  <si>
    <t>Initial Mass of salt (g)</t>
  </si>
  <si>
    <t>Initial Water Content (%)</t>
  </si>
  <si>
    <t>Initial Void Ratio</t>
  </si>
  <si>
    <t>Iniital Saturation (%)</t>
  </si>
  <si>
    <t>Initial Wet Density (g/cm3)</t>
  </si>
  <si>
    <t>Initial Dry Density (g/cm3)</t>
  </si>
  <si>
    <t>Initial Porosity</t>
  </si>
  <si>
    <t>NOTES:</t>
  </si>
  <si>
    <t>If you modify this sheet in any way be sure to add a revision date and your name</t>
  </si>
  <si>
    <t>this sheet accounts for both temperature and salt effects</t>
  </si>
  <si>
    <t>Enter your measurements into the yellow cells</t>
  </si>
  <si>
    <t>The gray cells contain equations and should not be altered</t>
  </si>
  <si>
    <t>the blue cells contain equations for input data and can be replaced</t>
  </si>
  <si>
    <t>Salt water density is computed using mixing equation with water density vs temp equation and salt density variation</t>
  </si>
  <si>
    <t>Specific Gravity of Solids</t>
  </si>
  <si>
    <t>Final Specimen Void Ratio</t>
  </si>
  <si>
    <t>Loss Factor</t>
  </si>
  <si>
    <t>between 0.1 and 0.2</t>
  </si>
  <si>
    <t>SPECIMEN PARAMETERS</t>
  </si>
  <si>
    <t>Resedimentation Batch Mixing Calculator</t>
  </si>
  <si>
    <t>*for use with single material batches only</t>
  </si>
  <si>
    <t>Mass of Solids</t>
  </si>
  <si>
    <r>
      <t>Final Specimen Volume (cm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</si>
  <si>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Batching Water Content (%)</t>
  </si>
  <si>
    <t>Temperature of initial specimen / batch (°C)</t>
  </si>
  <si>
    <t>Salt Concentration (g/L)</t>
  </si>
  <si>
    <t>Mass of Water in 1 L soln (g)</t>
  </si>
  <si>
    <t>Mass of Salt</t>
  </si>
  <si>
    <t>Compute Water Content (%)</t>
  </si>
  <si>
    <t>Ratio Water to Salt</t>
  </si>
  <si>
    <t>CHECK</t>
  </si>
  <si>
    <t>Method 1</t>
  </si>
  <si>
    <t>Method 2</t>
  </si>
  <si>
    <t>Mass of Solids (g)</t>
  </si>
  <si>
    <t>N/A</t>
  </si>
  <si>
    <t>by e</t>
  </si>
  <si>
    <t>by Ms</t>
  </si>
  <si>
    <t>Effective Density of Salt</t>
  </si>
  <si>
    <t>SEA SALT</t>
  </si>
  <si>
    <t>Volume: 1 L</t>
  </si>
  <si>
    <t>2)We compute the effective salt density a function of salinity.</t>
  </si>
  <si>
    <r>
      <t>2) Effective density of Sea Salt (</t>
    </r>
    <r>
      <rPr>
        <sz val="11"/>
        <color theme="1"/>
        <rFont val="Calibri"/>
        <family val="2"/>
      </rPr>
      <t xml:space="preserve">ρ) </t>
    </r>
    <r>
      <rPr>
        <sz val="11"/>
        <color theme="1"/>
        <rFont val="Calibri"/>
        <family val="2"/>
        <scheme val="minor"/>
      </rPr>
      <t>as a function of salinity (c):</t>
    </r>
  </si>
  <si>
    <r>
      <t>2) Effective Density of NaCl (Sodium Chloride) Salt (</t>
    </r>
    <r>
      <rPr>
        <sz val="11"/>
        <color theme="1"/>
        <rFont val="Calibri"/>
        <family val="2"/>
      </rPr>
      <t xml:space="preserve">ρ) </t>
    </r>
    <r>
      <rPr>
        <sz val="11"/>
        <color theme="1"/>
        <rFont val="Calibri"/>
        <family val="2"/>
        <scheme val="minor"/>
      </rPr>
      <t>as a function of salinity (c):</t>
    </r>
  </si>
  <si>
    <t>Effective Density of salt (g/cm3)</t>
  </si>
  <si>
    <t>Effective Salt density is approximate based on Polynomial fit against standard salt water density table</t>
  </si>
  <si>
    <t>METHOD 2: Dry portion of specimen</t>
  </si>
  <si>
    <t>METHOD 1: Dry entire specimen</t>
  </si>
  <si>
    <t>BOTH METHODS:</t>
  </si>
  <si>
    <t>Use either method 1 or method 2, NOT both!</t>
  </si>
  <si>
    <t>Mass final dry specimen and plate (g)</t>
  </si>
  <si>
    <t>Revision 2.1</t>
  </si>
  <si>
    <t>9/26/2012 ALA</t>
  </si>
  <si>
    <t>Water density is computed as function of temperature using ASTM D854 equation</t>
  </si>
  <si>
    <t>Tab 1</t>
  </si>
  <si>
    <t>Tab 2</t>
  </si>
  <si>
    <t>Tab 3</t>
  </si>
  <si>
    <t>Is a calculator that can be used to compute the mass of salt and water to mix a solution of either</t>
  </si>
  <si>
    <t xml:space="preserve">NaCl or Sea salt of a specified volume at a specified temperature and salinity. </t>
  </si>
  <si>
    <t>Is a table that lists the mass of salt and water needed to mix 1 L of NaCl solution at 20 degrees C as a function of salinity</t>
  </si>
  <si>
    <t xml:space="preserve">Is a table that lists the mass of salt and water needed to mix 1 L of SeaSalt solution at 20 degrees C as a function of salinity. </t>
  </si>
  <si>
    <t>Tab 4</t>
  </si>
  <si>
    <t>Is a calcator that can be used to compute the mixing ratios of dry soil, water and salt to prepare a resedimentation batch</t>
  </si>
  <si>
    <t xml:space="preserve">Taking into account proper salinity derivations. </t>
  </si>
  <si>
    <t xml:space="preserve">Two methods can be used to determine the mixing ratios. </t>
  </si>
  <si>
    <t>The first method allows the user to specify the final specimen void ratio, dimensions and the batching loss factor along with</t>
  </si>
  <si>
    <t xml:space="preserve">Outputs of both methods are the mass of solids, the mass of salt and the mass of water. </t>
  </si>
  <si>
    <t>the batching water content,  salinity and temperature</t>
  </si>
  <si>
    <t>The second method allows the user to specify the mass of solids in the batch along with the batching water content, salinity and temperature</t>
  </si>
  <si>
    <t>Tab 5</t>
  </si>
  <si>
    <t xml:space="preserve">Is the CRS set up calcs sheet which correctly computes the phase relations accounting for the proper definition of salinity, temperature and </t>
  </si>
  <si>
    <t xml:space="preserve">accounting for decreasing mass of salt as fluid is expelled throughout the test. </t>
  </si>
  <si>
    <t xml:space="preserve">Tab 6 </t>
  </si>
  <si>
    <t xml:space="preserve">Lists equations that can be used to determine the viscosity of sea salt solution as a function of salinity for specified temperatures. </t>
  </si>
  <si>
    <t xml:space="preserve">These data are required to convert measured hydraulic conductivities to permeabilities. </t>
  </si>
  <si>
    <t xml:space="preserve">If additional temperature points are needed, please contact Amy. </t>
  </si>
  <si>
    <t>Notes on calculations:</t>
  </si>
  <si>
    <t xml:space="preserve">We compute and vary the effective salt density as a function of salinity to make the salt water density an additive function of the </t>
  </si>
  <si>
    <t xml:space="preserve">density of pure water (a known function of temperature) and the effective salt density (assumed to be temperature independent). </t>
  </si>
  <si>
    <t xml:space="preserve">We fit the data using Excel Solver and optimize the fit to reduce the overall density error through comparison with tables of known data. </t>
  </si>
  <si>
    <t xml:space="preserve">This yields an equation for the effective density of salt as a function of salinity. </t>
  </si>
  <si>
    <t>Another Excel sheet contains all the background information, sources and fitting that was done to form the equations for effective salt density</t>
  </si>
  <si>
    <t xml:space="preserve">and viscosity found in this workbook. </t>
  </si>
  <si>
    <t>This sheet contains 6 tabs</t>
  </si>
  <si>
    <t>Sea Water Viscosity Equations</t>
  </si>
  <si>
    <t>c = salinity in g/L</t>
  </si>
  <si>
    <t>v = dynamic viscosity in g/cm s</t>
  </si>
  <si>
    <t>Temp = 20 deg C:</t>
  </si>
  <si>
    <t>Temp = 24 deg C:</t>
  </si>
  <si>
    <t>Temp = 26 deg C:</t>
  </si>
  <si>
    <t>Temp = 25.3 deg C: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</si>
</sst>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b/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1E0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11" fillId="0" borderId="0" xfId="0" applyFont="1"/>
    <xf numFmtId="165" fontId="4" fillId="0" borderId="10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8" fillId="0" borderId="1" xfId="1" applyBorder="1"/>
    <xf numFmtId="0" fontId="8" fillId="3" borderId="1" xfId="1" applyFill="1" applyBorder="1"/>
    <xf numFmtId="166" fontId="8" fillId="4" borderId="1" xfId="1" applyNumberFormat="1" applyFill="1" applyBorder="1"/>
    <xf numFmtId="2" fontId="8" fillId="4" borderId="1" xfId="1" applyNumberFormat="1" applyFill="1" applyBorder="1"/>
    <xf numFmtId="0" fontId="8" fillId="0" borderId="0" xfId="1" applyFill="1" applyBorder="1"/>
    <xf numFmtId="0" fontId="17" fillId="0" borderId="1" xfId="0" applyFont="1" applyBorder="1"/>
    <xf numFmtId="0" fontId="0" fillId="3" borderId="1" xfId="0" applyFill="1" applyBorder="1"/>
    <xf numFmtId="0" fontId="8" fillId="0" borderId="1" xfId="1" applyFill="1" applyBorder="1"/>
    <xf numFmtId="0" fontId="8" fillId="3" borderId="0" xfId="1" applyFill="1" applyBorder="1"/>
    <xf numFmtId="0" fontId="8" fillId="6" borderId="0" xfId="1" applyFill="1" applyBorder="1"/>
    <xf numFmtId="0" fontId="8" fillId="5" borderId="0" xfId="1" applyFill="1" applyBorder="1"/>
    <xf numFmtId="0" fontId="18" fillId="0" borderId="0" xfId="0" applyFont="1"/>
    <xf numFmtId="0" fontId="8" fillId="0" borderId="0" xfId="0" applyFont="1"/>
    <xf numFmtId="0" fontId="19" fillId="0" borderId="0" xfId="0" applyFont="1"/>
    <xf numFmtId="0" fontId="0" fillId="4" borderId="0" xfId="0" applyFill="1"/>
    <xf numFmtId="0" fontId="20" fillId="0" borderId="0" xfId="0" applyFont="1"/>
    <xf numFmtId="0" fontId="8" fillId="0" borderId="1" xfId="1" applyFill="1" applyBorder="1" applyAlignment="1">
      <alignment horizontal="right"/>
    </xf>
    <xf numFmtId="0" fontId="8" fillId="3" borderId="1" xfId="1" applyFill="1" applyBorder="1" applyAlignment="1">
      <alignment horizontal="center"/>
    </xf>
    <xf numFmtId="0" fontId="8" fillId="3" borderId="1" xfId="1" applyFill="1" applyBorder="1" applyAlignment="1">
      <alignment horizontal="centerContinuous"/>
    </xf>
    <xf numFmtId="0" fontId="8" fillId="7" borderId="1" xfId="1" applyFill="1" applyBorder="1"/>
    <xf numFmtId="0" fontId="21" fillId="7" borderId="1" xfId="1" applyFont="1" applyFill="1" applyBorder="1" applyAlignment="1">
      <alignment horizontal="center"/>
    </xf>
    <xf numFmtId="0" fontId="8" fillId="3" borderId="1" xfId="1" applyFont="1" applyFill="1" applyBorder="1"/>
    <xf numFmtId="0" fontId="8" fillId="8" borderId="1" xfId="1" applyFont="1" applyFill="1" applyBorder="1"/>
    <xf numFmtId="165" fontId="8" fillId="3" borderId="13" xfId="1" applyNumberFormat="1" applyFont="1" applyFill="1" applyBorder="1"/>
    <xf numFmtId="166" fontId="8" fillId="3" borderId="13" xfId="1" applyNumberFormat="1" applyFont="1" applyFill="1" applyBorder="1"/>
    <xf numFmtId="2" fontId="8" fillId="8" borderId="1" xfId="1" applyNumberFormat="1" applyFill="1" applyBorder="1"/>
    <xf numFmtId="0" fontId="8" fillId="8" borderId="1" xfId="1" applyFill="1" applyBorder="1"/>
    <xf numFmtId="0" fontId="8" fillId="9" borderId="1" xfId="1" applyFill="1" applyBorder="1"/>
    <xf numFmtId="0" fontId="8" fillId="4" borderId="1" xfId="1" applyFill="1" applyBorder="1"/>
    <xf numFmtId="165" fontId="8" fillId="4" borderId="1" xfId="1" applyNumberFormat="1" applyFill="1" applyBorder="1"/>
    <xf numFmtId="165" fontId="8" fillId="4" borderId="1" xfId="1" applyNumberFormat="1" applyFill="1" applyBorder="1" applyAlignment="1"/>
    <xf numFmtId="2" fontId="22" fillId="4" borderId="1" xfId="1" applyNumberFormat="1" applyFont="1" applyFill="1" applyBorder="1"/>
    <xf numFmtId="165" fontId="22" fillId="4" borderId="1" xfId="1" applyNumberFormat="1" applyFont="1" applyFill="1" applyBorder="1"/>
    <xf numFmtId="0" fontId="8" fillId="4" borderId="0" xfId="1" applyFill="1" applyBorder="1"/>
    <xf numFmtId="0" fontId="8" fillId="10" borderId="0" xfId="1" applyFill="1" applyBorder="1"/>
    <xf numFmtId="0" fontId="8" fillId="0" borderId="1" xfId="1" applyFont="1" applyBorder="1"/>
    <xf numFmtId="0" fontId="8" fillId="3" borderId="1" xfId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1" xfId="0" applyFont="1" applyFill="1" applyBorder="1"/>
    <xf numFmtId="0" fontId="8" fillId="5" borderId="1" xfId="1" applyFill="1" applyBorder="1"/>
    <xf numFmtId="0" fontId="1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8" fillId="4" borderId="1" xfId="1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8" fillId="4" borderId="1" xfId="1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0" fillId="5" borderId="1" xfId="0" applyNumberFormat="1" applyFill="1" applyBorder="1"/>
    <xf numFmtId="0" fontId="8" fillId="0" borderId="1" xfId="1" applyFont="1" applyFill="1" applyBorder="1"/>
    <xf numFmtId="2" fontId="8" fillId="3" borderId="1" xfId="1" applyNumberFormat="1" applyFill="1" applyBorder="1"/>
    <xf numFmtId="0" fontId="0" fillId="3" borderId="0" xfId="0" applyFill="1"/>
    <xf numFmtId="0" fontId="0" fillId="0" borderId="0" xfId="0" applyFont="1"/>
    <xf numFmtId="0" fontId="24" fillId="0" borderId="0" xfId="0" applyFont="1"/>
    <xf numFmtId="2" fontId="3" fillId="0" borderId="9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6" borderId="1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2" fontId="3" fillId="6" borderId="12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165" fontId="2" fillId="6" borderId="7" xfId="0" applyNumberFormat="1" applyFont="1" applyFill="1" applyBorder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29</xdr:row>
      <xdr:rowOff>38099</xdr:rowOff>
    </xdr:from>
    <xdr:to>
      <xdr:col>5</xdr:col>
      <xdr:colOff>19050</xdr:colOff>
      <xdr:row>30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1001" y="2381249"/>
          <a:ext cx="5048249" cy="304801"/>
        </a:xfrm>
        <a:prstGeom prst="rect">
          <a:avLst/>
        </a:prstGeom>
        <a:noFill/>
      </xdr:spPr>
    </xdr:pic>
    <xdr:clientData/>
  </xdr:twoCellAnchor>
  <xdr:twoCellAnchor>
    <xdr:from>
      <xdr:col>1</xdr:col>
      <xdr:colOff>809625</xdr:colOff>
      <xdr:row>32</xdr:row>
      <xdr:rowOff>15875</xdr:rowOff>
    </xdr:from>
    <xdr:to>
      <xdr:col>4</xdr:col>
      <xdr:colOff>698500</xdr:colOff>
      <xdr:row>33</xdr:row>
      <xdr:rowOff>177800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1875" y="8477250"/>
          <a:ext cx="4079875" cy="3524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29</xdr:row>
      <xdr:rowOff>38099</xdr:rowOff>
    </xdr:from>
    <xdr:to>
      <xdr:col>5</xdr:col>
      <xdr:colOff>19050</xdr:colOff>
      <xdr:row>30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1" y="7953374"/>
          <a:ext cx="5114924" cy="304801"/>
        </a:xfrm>
        <a:prstGeom prst="rect">
          <a:avLst/>
        </a:prstGeom>
        <a:noFill/>
      </xdr:spPr>
    </xdr:pic>
    <xdr:clientData/>
  </xdr:twoCellAnchor>
  <xdr:twoCellAnchor>
    <xdr:from>
      <xdr:col>1</xdr:col>
      <xdr:colOff>555625</xdr:colOff>
      <xdr:row>32</xdr:row>
      <xdr:rowOff>15875</xdr:rowOff>
    </xdr:from>
    <xdr:to>
      <xdr:col>4</xdr:col>
      <xdr:colOff>917575</xdr:colOff>
      <xdr:row>33</xdr:row>
      <xdr:rowOff>177800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7875" y="8477250"/>
          <a:ext cx="4552950" cy="352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4</xdr:row>
      <xdr:rowOff>0</xdr:rowOff>
    </xdr:from>
    <xdr:to>
      <xdr:col>11</xdr:col>
      <xdr:colOff>419100</xdr:colOff>
      <xdr:row>5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76975" y="762000"/>
          <a:ext cx="2714625" cy="2095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142875</xdr:colOff>
      <xdr:row>3</xdr:row>
      <xdr:rowOff>9525</xdr:rowOff>
    </xdr:from>
    <xdr:to>
      <xdr:col>11</xdr:col>
      <xdr:colOff>133350</xdr:colOff>
      <xdr:row>4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76975" y="581025"/>
          <a:ext cx="2428875" cy="2095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4</xdr:row>
      <xdr:rowOff>0</xdr:rowOff>
    </xdr:from>
    <xdr:to>
      <xdr:col>11</xdr:col>
      <xdr:colOff>419100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76975" y="762000"/>
          <a:ext cx="2714625" cy="2095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142875</xdr:colOff>
      <xdr:row>3</xdr:row>
      <xdr:rowOff>9525</xdr:rowOff>
    </xdr:from>
    <xdr:to>
      <xdr:col>11</xdr:col>
      <xdr:colOff>133350</xdr:colOff>
      <xdr:row>4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76975" y="581025"/>
          <a:ext cx="2428875" cy="2095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4</xdr:row>
      <xdr:rowOff>0</xdr:rowOff>
    </xdr:from>
    <xdr:to>
      <xdr:col>17</xdr:col>
      <xdr:colOff>419100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867900" y="866775"/>
          <a:ext cx="2714625" cy="20955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142875</xdr:colOff>
      <xdr:row>3</xdr:row>
      <xdr:rowOff>9525</xdr:rowOff>
    </xdr:from>
    <xdr:to>
      <xdr:col>17</xdr:col>
      <xdr:colOff>133350</xdr:colOff>
      <xdr:row>4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867900" y="685800"/>
          <a:ext cx="2428875" cy="209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114300</xdr:rowOff>
    </xdr:from>
    <xdr:to>
      <xdr:col>5</xdr:col>
      <xdr:colOff>28575</xdr:colOff>
      <xdr:row>10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838325"/>
          <a:ext cx="2924175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152400</xdr:colOff>
      <xdr:row>12</xdr:row>
      <xdr:rowOff>104775</xdr:rowOff>
    </xdr:from>
    <xdr:to>
      <xdr:col>4</xdr:col>
      <xdr:colOff>561975</xdr:colOff>
      <xdr:row>13</xdr:row>
      <xdr:rowOff>104775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2400300"/>
          <a:ext cx="2847975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114300</xdr:colOff>
      <xdr:row>18</xdr:row>
      <xdr:rowOff>38100</xdr:rowOff>
    </xdr:from>
    <xdr:to>
      <xdr:col>4</xdr:col>
      <xdr:colOff>523875</xdr:colOff>
      <xdr:row>19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4300" y="3476625"/>
          <a:ext cx="2847975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152400</xdr:colOff>
      <xdr:row>15</xdr:row>
      <xdr:rowOff>9525</xdr:rowOff>
    </xdr:from>
    <xdr:to>
      <xdr:col>5</xdr:col>
      <xdr:colOff>28575</xdr:colOff>
      <xdr:row>16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2876550"/>
          <a:ext cx="2924175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opLeftCell="A2" workbookViewId="0">
      <selection activeCell="D20" sqref="D20"/>
    </sheetView>
  </sheetViews>
  <sheetFormatPr defaultRowHeight="15"/>
  <sheetData>
    <row r="1" spans="1:2" s="45" customFormat="1">
      <c r="A1" s="45" t="s">
        <v>38</v>
      </c>
    </row>
    <row r="3" spans="1:2" s="47" customFormat="1">
      <c r="A3" s="47" t="s">
        <v>159</v>
      </c>
    </row>
    <row r="5" spans="1:2">
      <c r="A5" s="47" t="s">
        <v>130</v>
      </c>
      <c r="B5" t="s">
        <v>135</v>
      </c>
    </row>
    <row r="6" spans="1:2">
      <c r="A6" s="47"/>
    </row>
    <row r="7" spans="1:2">
      <c r="A7" s="47" t="s">
        <v>131</v>
      </c>
      <c r="B7" t="s">
        <v>136</v>
      </c>
    </row>
    <row r="8" spans="1:2">
      <c r="A8" s="47"/>
    </row>
    <row r="9" spans="1:2">
      <c r="A9" s="47" t="s">
        <v>132</v>
      </c>
      <c r="B9" t="s">
        <v>133</v>
      </c>
    </row>
    <row r="10" spans="1:2" s="47" customFormat="1">
      <c r="B10" s="86" t="s">
        <v>134</v>
      </c>
    </row>
    <row r="11" spans="1:2" s="47" customFormat="1">
      <c r="B11" s="86"/>
    </row>
    <row r="12" spans="1:2">
      <c r="A12" s="47" t="s">
        <v>137</v>
      </c>
      <c r="B12" s="86" t="s">
        <v>138</v>
      </c>
    </row>
    <row r="13" spans="1:2">
      <c r="B13" s="86" t="s">
        <v>139</v>
      </c>
    </row>
    <row r="14" spans="1:2">
      <c r="B14" s="86" t="s">
        <v>140</v>
      </c>
    </row>
    <row r="15" spans="1:2">
      <c r="B15" s="86" t="s">
        <v>141</v>
      </c>
    </row>
    <row r="16" spans="1:2">
      <c r="B16" t="s">
        <v>143</v>
      </c>
    </row>
    <row r="17" spans="1:3">
      <c r="B17" t="s">
        <v>144</v>
      </c>
    </row>
    <row r="18" spans="1:3">
      <c r="B18" t="s">
        <v>142</v>
      </c>
    </row>
    <row r="20" spans="1:3" s="47" customFormat="1">
      <c r="A20" s="47" t="s">
        <v>145</v>
      </c>
      <c r="B20" s="86" t="s">
        <v>146</v>
      </c>
    </row>
    <row r="21" spans="1:3">
      <c r="B21" t="s">
        <v>147</v>
      </c>
    </row>
    <row r="23" spans="1:3" s="47" customFormat="1">
      <c r="A23" s="47" t="s">
        <v>148</v>
      </c>
      <c r="B23" s="86" t="s">
        <v>149</v>
      </c>
    </row>
    <row r="24" spans="1:3">
      <c r="B24" t="s">
        <v>150</v>
      </c>
    </row>
    <row r="25" spans="1:3">
      <c r="A25" s="46"/>
      <c r="B25" t="s">
        <v>151</v>
      </c>
    </row>
    <row r="26" spans="1:3">
      <c r="B26" s="46"/>
    </row>
    <row r="27" spans="1:3">
      <c r="A27" s="47" t="s">
        <v>152</v>
      </c>
      <c r="B27" s="46"/>
    </row>
    <row r="28" spans="1:3">
      <c r="B28" t="s">
        <v>153</v>
      </c>
      <c r="C28" s="46"/>
    </row>
    <row r="29" spans="1:3">
      <c r="B29" t="s">
        <v>154</v>
      </c>
      <c r="C29" s="46"/>
    </row>
    <row r="30" spans="1:3">
      <c r="B30" t="s">
        <v>155</v>
      </c>
      <c r="C30" s="46"/>
    </row>
    <row r="31" spans="1:3">
      <c r="B31" t="s">
        <v>156</v>
      </c>
      <c r="C31" s="46"/>
    </row>
    <row r="32" spans="1:3">
      <c r="B32" t="s">
        <v>157</v>
      </c>
      <c r="C32" s="46"/>
    </row>
    <row r="33" spans="2:3">
      <c r="B33" t="s">
        <v>158</v>
      </c>
      <c r="C33" s="46"/>
    </row>
    <row r="34" spans="2:3">
      <c r="B34" s="46"/>
      <c r="C34" s="46"/>
    </row>
    <row r="35" spans="2:3">
      <c r="C35" s="46"/>
    </row>
    <row r="36" spans="2:3">
      <c r="C36" s="46"/>
    </row>
    <row r="37" spans="2:3">
      <c r="C37" s="46"/>
    </row>
    <row r="38" spans="2:3">
      <c r="C38" s="46"/>
    </row>
    <row r="39" spans="2:3">
      <c r="C39" s="46"/>
    </row>
    <row r="40" spans="2:3">
      <c r="B40" s="46"/>
      <c r="C40" s="46"/>
    </row>
    <row r="41" spans="2:3">
      <c r="C41" s="46"/>
    </row>
    <row r="42" spans="2:3">
      <c r="C42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zoomScale="60" zoomScaleNormal="100" workbookViewId="0">
      <selection activeCell="H24" sqref="H24"/>
    </sheetView>
  </sheetViews>
  <sheetFormatPr defaultRowHeight="15"/>
  <cols>
    <col min="1" max="1" width="3.42578125" customWidth="1"/>
    <col min="2" max="4" width="20.85546875" customWidth="1"/>
    <col min="5" max="5" width="19.5703125" customWidth="1"/>
    <col min="6" max="6" width="4.42578125" customWidth="1"/>
    <col min="8" max="10" width="19" customWidth="1"/>
    <col min="11" max="12" width="25.85546875" customWidth="1"/>
  </cols>
  <sheetData>
    <row r="1" spans="2:11" ht="23.25">
      <c r="B1" s="100" t="s">
        <v>0</v>
      </c>
      <c r="C1" s="100"/>
      <c r="D1" s="100"/>
      <c r="E1" s="100"/>
    </row>
    <row r="3" spans="2:11" ht="26.25">
      <c r="B3" s="101" t="s">
        <v>39</v>
      </c>
      <c r="C3" s="101"/>
      <c r="D3" s="101"/>
      <c r="E3" s="101"/>
    </row>
    <row r="5" spans="2:11">
      <c r="B5" s="10" t="s">
        <v>11</v>
      </c>
      <c r="C5" s="6">
        <v>20</v>
      </c>
      <c r="D5" s="9" t="s">
        <v>6</v>
      </c>
    </row>
    <row r="6" spans="2:11" ht="17.25">
      <c r="B6" s="9" t="s">
        <v>5</v>
      </c>
      <c r="C6" s="5">
        <f>(-4.95*10^-6)*$C$5^2+(-7.77*10^-6)*$C$5+1.00034</f>
        <v>0.9982046</v>
      </c>
      <c r="D6" s="9" t="s">
        <v>7</v>
      </c>
      <c r="E6" t="s">
        <v>116</v>
      </c>
    </row>
    <row r="7" spans="2:11" ht="15.75" thickBot="1">
      <c r="B7" s="6"/>
      <c r="C7" s="5"/>
      <c r="D7" s="6"/>
      <c r="H7" t="s">
        <v>14</v>
      </c>
    </row>
    <row r="8" spans="2:11" s="1" customFormat="1" ht="64.5" customHeight="1" thickTop="1">
      <c r="B8" s="24" t="s">
        <v>19</v>
      </c>
      <c r="C8" s="25" t="s">
        <v>114</v>
      </c>
      <c r="D8" s="25" t="s">
        <v>20</v>
      </c>
      <c r="E8" s="26" t="s">
        <v>8</v>
      </c>
      <c r="H8" s="12" t="s">
        <v>17</v>
      </c>
      <c r="I8" s="13" t="s">
        <v>15</v>
      </c>
      <c r="J8" s="13" t="s">
        <v>16</v>
      </c>
      <c r="K8" s="14" t="s">
        <v>10</v>
      </c>
    </row>
    <row r="9" spans="2:11" s="2" customFormat="1" ht="24" customHeight="1" thickBot="1">
      <c r="B9" s="27" t="s">
        <v>3</v>
      </c>
      <c r="C9" s="28" t="s">
        <v>21</v>
      </c>
      <c r="D9" s="28" t="s">
        <v>21</v>
      </c>
      <c r="E9" s="29" t="s">
        <v>9</v>
      </c>
      <c r="H9" s="15" t="s">
        <v>18</v>
      </c>
      <c r="I9" s="15" t="s">
        <v>18</v>
      </c>
      <c r="J9" s="16" t="s">
        <v>9</v>
      </c>
      <c r="K9" s="17" t="s">
        <v>4</v>
      </c>
    </row>
    <row r="10" spans="2:11" s="2" customFormat="1" ht="24" customHeight="1" thickTop="1">
      <c r="B10" s="88">
        <v>1</v>
      </c>
      <c r="C10" s="89">
        <f>(2*10^-6)*B10^2+(-0.0028)*B10+3.4</f>
        <v>3.3972020000000001</v>
      </c>
      <c r="D10" s="89">
        <f>$C$6+((1-$C$6/(C10))*B10/1000)</f>
        <v>0.99891076860581152</v>
      </c>
      <c r="E10" s="90">
        <f>D10*1000-B10</f>
        <v>997.91076860581154</v>
      </c>
      <c r="H10" s="30">
        <f>B10/C10</f>
        <v>0.29435988793130347</v>
      </c>
      <c r="I10" s="11">
        <f>1000-H10</f>
        <v>999.70564011206875</v>
      </c>
      <c r="J10" s="11">
        <f>I10*$C$6</f>
        <v>997.91076860581154</v>
      </c>
      <c r="K10" s="20">
        <f>(J10+B10)/1000</f>
        <v>0.99891076860581152</v>
      </c>
    </row>
    <row r="11" spans="2:11" s="2" customFormat="1" ht="24" customHeight="1">
      <c r="B11" s="94">
        <v>4</v>
      </c>
      <c r="C11" s="95">
        <f t="shared" ref="C11:C21" si="0">(2*10^-6)*B11^2+(-0.0028)*B11+3.4</f>
        <v>3.3888319999999998</v>
      </c>
      <c r="D11" s="95">
        <f t="shared" ref="D11:D21" si="1">$C$6+((1-$C$6/(C11))*B11/1000)</f>
        <v>1.0010263715130168</v>
      </c>
      <c r="E11" s="96">
        <f t="shared" ref="E11:E21" si="2">D11*1000-B11</f>
        <v>997.02637151301678</v>
      </c>
      <c r="H11" s="31">
        <f t="shared" ref="H11:H21" si="3">B11/C11</f>
        <v>1.1803476832135675</v>
      </c>
      <c r="I11" s="7">
        <f t="shared" ref="I11:I21" si="4">1000-H11</f>
        <v>998.81965231678646</v>
      </c>
      <c r="J11" s="7">
        <f t="shared" ref="J11:J21" si="5">I11*$C$6</f>
        <v>997.0263715130169</v>
      </c>
      <c r="K11" s="21">
        <f t="shared" ref="K11:K21" si="6">(J11+B11)/1000</f>
        <v>1.001026371513017</v>
      </c>
    </row>
    <row r="12" spans="2:11" s="2" customFormat="1" ht="24" customHeight="1">
      <c r="B12" s="91">
        <v>10</v>
      </c>
      <c r="C12" s="92">
        <f t="shared" si="0"/>
        <v>3.3721999999999999</v>
      </c>
      <c r="D12" s="92">
        <f t="shared" si="1"/>
        <v>1.0052445009548663</v>
      </c>
      <c r="E12" s="93">
        <f t="shared" si="2"/>
        <v>995.24450095486623</v>
      </c>
      <c r="H12" s="31">
        <f t="shared" si="3"/>
        <v>2.9654231658857721</v>
      </c>
      <c r="I12" s="7">
        <f t="shared" si="4"/>
        <v>997.0345768341142</v>
      </c>
      <c r="J12" s="7">
        <f t="shared" si="5"/>
        <v>995.24450095486623</v>
      </c>
      <c r="K12" s="21">
        <f t="shared" si="6"/>
        <v>1.0052445009548663</v>
      </c>
    </row>
    <row r="13" spans="2:11" s="3" customFormat="1" ht="24" customHeight="1">
      <c r="B13" s="94">
        <v>16</v>
      </c>
      <c r="C13" s="95">
        <f t="shared" si="0"/>
        <v>3.355712</v>
      </c>
      <c r="D13" s="95">
        <f t="shared" si="1"/>
        <v>1.009445170823718</v>
      </c>
      <c r="E13" s="96">
        <f t="shared" si="2"/>
        <v>993.44517082371794</v>
      </c>
      <c r="H13" s="32">
        <f t="shared" si="3"/>
        <v>4.7679896248545761</v>
      </c>
      <c r="I13" s="8">
        <f t="shared" si="4"/>
        <v>995.23201037514548</v>
      </c>
      <c r="J13" s="8">
        <f t="shared" si="5"/>
        <v>993.44517082371794</v>
      </c>
      <c r="K13" s="22">
        <f t="shared" si="6"/>
        <v>1.009445170823718</v>
      </c>
    </row>
    <row r="14" spans="2:11" s="2" customFormat="1" ht="24" customHeight="1">
      <c r="B14" s="91">
        <v>20</v>
      </c>
      <c r="C14" s="92">
        <f t="shared" si="0"/>
        <v>3.3447999999999998</v>
      </c>
      <c r="D14" s="92">
        <f t="shared" si="1"/>
        <v>1.0122359047117915</v>
      </c>
      <c r="E14" s="93">
        <f t="shared" si="2"/>
        <v>992.23590471179148</v>
      </c>
      <c r="H14" s="31">
        <f t="shared" si="3"/>
        <v>5.9794307581918202</v>
      </c>
      <c r="I14" s="7">
        <f t="shared" si="4"/>
        <v>994.02056924180818</v>
      </c>
      <c r="J14" s="7">
        <f t="shared" si="5"/>
        <v>992.23590471179148</v>
      </c>
      <c r="K14" s="21">
        <f t="shared" si="6"/>
        <v>1.0122359047117915</v>
      </c>
    </row>
    <row r="15" spans="2:11" s="2" customFormat="1" ht="24" customHeight="1">
      <c r="B15" s="94">
        <v>36</v>
      </c>
      <c r="C15" s="95">
        <f t="shared" si="0"/>
        <v>3.3017919999999998</v>
      </c>
      <c r="D15" s="95">
        <f t="shared" si="1"/>
        <v>1.023321005394404</v>
      </c>
      <c r="E15" s="96">
        <f t="shared" si="2"/>
        <v>987.32100539440398</v>
      </c>
      <c r="H15" s="31">
        <f t="shared" si="3"/>
        <v>10.903170157296403</v>
      </c>
      <c r="I15" s="7">
        <f t="shared" si="4"/>
        <v>989.09682984270364</v>
      </c>
      <c r="J15" s="7">
        <f t="shared" si="5"/>
        <v>987.3210053944041</v>
      </c>
      <c r="K15" s="21">
        <f t="shared" si="6"/>
        <v>1.0233210053944042</v>
      </c>
    </row>
    <row r="16" spans="2:11" s="2" customFormat="1" ht="24" customHeight="1">
      <c r="B16" s="91">
        <v>64</v>
      </c>
      <c r="C16" s="92">
        <f t="shared" si="0"/>
        <v>3.2289919999999999</v>
      </c>
      <c r="D16" s="92">
        <f t="shared" si="1"/>
        <v>1.0424197586625177</v>
      </c>
      <c r="E16" s="93">
        <f t="shared" si="2"/>
        <v>978.41975866251778</v>
      </c>
      <c r="H16" s="31">
        <f t="shared" si="3"/>
        <v>19.820426931996117</v>
      </c>
      <c r="I16" s="7">
        <f t="shared" si="4"/>
        <v>980.17957306800383</v>
      </c>
      <c r="J16" s="7">
        <f t="shared" si="5"/>
        <v>978.41975866251755</v>
      </c>
      <c r="K16" s="21">
        <f t="shared" si="6"/>
        <v>1.0424197586625175</v>
      </c>
    </row>
    <row r="17" spans="2:11" s="3" customFormat="1" ht="24" customHeight="1">
      <c r="B17" s="94">
        <v>80</v>
      </c>
      <c r="C17" s="95">
        <f t="shared" si="0"/>
        <v>3.1888000000000001</v>
      </c>
      <c r="D17" s="95">
        <f t="shared" si="1"/>
        <v>1.0531618353236327</v>
      </c>
      <c r="E17" s="96">
        <f t="shared" si="2"/>
        <v>973.16183532363266</v>
      </c>
      <c r="H17" s="32">
        <f t="shared" si="3"/>
        <v>25.087807325639737</v>
      </c>
      <c r="I17" s="8">
        <f t="shared" si="4"/>
        <v>974.91219267436031</v>
      </c>
      <c r="J17" s="8">
        <f t="shared" si="5"/>
        <v>973.16183532363277</v>
      </c>
      <c r="K17" s="22">
        <f t="shared" si="6"/>
        <v>1.0531618353236327</v>
      </c>
    </row>
    <row r="18" spans="2:11" s="2" customFormat="1" ht="24" customHeight="1">
      <c r="B18" s="91">
        <v>100</v>
      </c>
      <c r="C18" s="92">
        <f t="shared" si="0"/>
        <v>3.14</v>
      </c>
      <c r="D18" s="92">
        <f t="shared" si="1"/>
        <v>1.0664146445859872</v>
      </c>
      <c r="E18" s="93">
        <f t="shared" si="2"/>
        <v>966.41464458598716</v>
      </c>
      <c r="H18" s="31">
        <f t="shared" si="3"/>
        <v>31.847133757961782</v>
      </c>
      <c r="I18" s="7">
        <f t="shared" si="4"/>
        <v>968.15286624203827</v>
      </c>
      <c r="J18" s="7">
        <f t="shared" si="5"/>
        <v>966.41464458598728</v>
      </c>
      <c r="K18" s="21">
        <f t="shared" si="6"/>
        <v>1.0664146445859874</v>
      </c>
    </row>
    <row r="19" spans="2:11" s="2" customFormat="1" ht="24" customHeight="1">
      <c r="B19" s="94">
        <v>128</v>
      </c>
      <c r="C19" s="95">
        <f t="shared" si="0"/>
        <v>3.0743679999999998</v>
      </c>
      <c r="D19" s="95">
        <f t="shared" si="1"/>
        <v>1.0846447773632824</v>
      </c>
      <c r="E19" s="96">
        <f t="shared" si="2"/>
        <v>956.6447773632824</v>
      </c>
      <c r="H19" s="31">
        <f t="shared" si="3"/>
        <v>41.634573349709605</v>
      </c>
      <c r="I19" s="7">
        <f t="shared" si="4"/>
        <v>958.36542665029037</v>
      </c>
      <c r="J19" s="7">
        <f t="shared" si="5"/>
        <v>956.6447773632824</v>
      </c>
      <c r="K19" s="21">
        <f t="shared" si="6"/>
        <v>1.0846447773632824</v>
      </c>
    </row>
    <row r="20" spans="2:11" s="2" customFormat="1" ht="24" customHeight="1">
      <c r="B20" s="91">
        <v>200</v>
      </c>
      <c r="C20" s="92">
        <f t="shared" si="0"/>
        <v>2.92</v>
      </c>
      <c r="D20" s="92">
        <f t="shared" si="1"/>
        <v>1.1298344219178083</v>
      </c>
      <c r="E20" s="93">
        <f t="shared" si="2"/>
        <v>929.83442191780819</v>
      </c>
      <c r="H20" s="31">
        <f t="shared" si="3"/>
        <v>68.493150684931507</v>
      </c>
      <c r="I20" s="7">
        <f t="shared" si="4"/>
        <v>931.50684931506851</v>
      </c>
      <c r="J20" s="7">
        <f t="shared" si="5"/>
        <v>929.83442191780819</v>
      </c>
      <c r="K20" s="21">
        <f t="shared" si="6"/>
        <v>1.1298344219178083</v>
      </c>
    </row>
    <row r="21" spans="2:11" s="2" customFormat="1" ht="24" customHeight="1" thickBot="1">
      <c r="B21" s="97">
        <v>256</v>
      </c>
      <c r="C21" s="98">
        <f t="shared" si="0"/>
        <v>2.8142719999999999</v>
      </c>
      <c r="D21" s="98">
        <f t="shared" si="1"/>
        <v>1.16340300811407</v>
      </c>
      <c r="E21" s="99">
        <f t="shared" si="2"/>
        <v>907.40300811406996</v>
      </c>
      <c r="H21" s="33">
        <f t="shared" si="3"/>
        <v>90.964910285857229</v>
      </c>
      <c r="I21" s="18">
        <f t="shared" si="4"/>
        <v>909.03508971414271</v>
      </c>
      <c r="J21" s="18">
        <f t="shared" si="5"/>
        <v>907.40300811406996</v>
      </c>
      <c r="K21" s="23">
        <f t="shared" si="6"/>
        <v>1.16340300811407</v>
      </c>
    </row>
    <row r="22" spans="2:11" ht="14.25" customHeight="1" thickTop="1">
      <c r="D22" s="4"/>
    </row>
    <row r="23" spans="2:11">
      <c r="B23" t="s">
        <v>1</v>
      </c>
    </row>
    <row r="24" spans="2:11">
      <c r="B24" t="s">
        <v>12</v>
      </c>
    </row>
    <row r="25" spans="2:11">
      <c r="B25" t="s">
        <v>117</v>
      </c>
    </row>
    <row r="26" spans="2:11">
      <c r="B26" t="s">
        <v>22</v>
      </c>
    </row>
    <row r="28" spans="2:11">
      <c r="B28" s="19" t="s">
        <v>2</v>
      </c>
    </row>
    <row r="29" spans="2:11">
      <c r="B29" t="s">
        <v>13</v>
      </c>
    </row>
    <row r="32" spans="2:11">
      <c r="B32" t="s">
        <v>119</v>
      </c>
    </row>
    <row r="34" spans="9:9">
      <c r="I34">
        <v>1</v>
      </c>
    </row>
  </sheetData>
  <mergeCells count="2">
    <mergeCell ref="B1:E1"/>
    <mergeCell ref="B3:E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topLeftCell="A9" zoomScaleNormal="100" zoomScaleSheetLayoutView="100" workbookViewId="0">
      <selection activeCell="G11" sqref="G11"/>
    </sheetView>
  </sheetViews>
  <sheetFormatPr defaultRowHeight="15"/>
  <cols>
    <col min="1" max="1" width="3.42578125" customWidth="1"/>
    <col min="2" max="4" width="20.85546875" customWidth="1"/>
    <col min="5" max="5" width="19.5703125" customWidth="1"/>
    <col min="6" max="6" width="4.42578125" customWidth="1"/>
    <col min="8" max="10" width="19" customWidth="1"/>
    <col min="11" max="12" width="25.85546875" customWidth="1"/>
  </cols>
  <sheetData>
    <row r="1" spans="2:11" ht="23.25">
      <c r="B1" s="100" t="s">
        <v>0</v>
      </c>
      <c r="C1" s="100"/>
      <c r="D1" s="100"/>
      <c r="E1" s="100"/>
    </row>
    <row r="3" spans="2:11" ht="26.25">
      <c r="B3" s="101" t="s">
        <v>40</v>
      </c>
      <c r="C3" s="101"/>
      <c r="D3" s="101"/>
      <c r="E3" s="101"/>
    </row>
    <row r="5" spans="2:11">
      <c r="B5" s="10" t="s">
        <v>11</v>
      </c>
      <c r="C5" s="6">
        <v>20</v>
      </c>
      <c r="D5" s="9" t="s">
        <v>6</v>
      </c>
    </row>
    <row r="6" spans="2:11" ht="17.25">
      <c r="B6" s="9" t="s">
        <v>5</v>
      </c>
      <c r="C6" s="5">
        <f>(-4.95*10^-6)*$C$5^2+(-7.77*10^-6)*$C$5+1.00034</f>
        <v>0.9982046</v>
      </c>
      <c r="D6" s="9" t="s">
        <v>7</v>
      </c>
      <c r="E6" t="s">
        <v>116</v>
      </c>
    </row>
    <row r="7" spans="2:11" ht="15.75" thickBot="1">
      <c r="B7" s="6"/>
      <c r="C7" s="5"/>
      <c r="D7" s="6"/>
      <c r="H7" t="s">
        <v>14</v>
      </c>
    </row>
    <row r="8" spans="2:11" s="1" customFormat="1" ht="64.5" customHeight="1" thickTop="1">
      <c r="B8" s="24" t="s">
        <v>19</v>
      </c>
      <c r="C8" s="25" t="s">
        <v>114</v>
      </c>
      <c r="D8" s="25" t="s">
        <v>20</v>
      </c>
      <c r="E8" s="26" t="s">
        <v>8</v>
      </c>
      <c r="H8" s="12" t="s">
        <v>17</v>
      </c>
      <c r="I8" s="13" t="s">
        <v>15</v>
      </c>
      <c r="J8" s="13" t="s">
        <v>16</v>
      </c>
      <c r="K8" s="14" t="s">
        <v>10</v>
      </c>
    </row>
    <row r="9" spans="2:11" s="2" customFormat="1" ht="24" customHeight="1" thickBot="1">
      <c r="B9" s="27" t="s">
        <v>3</v>
      </c>
      <c r="C9" s="28" t="s">
        <v>21</v>
      </c>
      <c r="D9" s="28" t="s">
        <v>21</v>
      </c>
      <c r="E9" s="29" t="s">
        <v>9</v>
      </c>
      <c r="H9" s="15" t="s">
        <v>18</v>
      </c>
      <c r="I9" s="15" t="s">
        <v>18</v>
      </c>
      <c r="J9" s="16" t="s">
        <v>9</v>
      </c>
      <c r="K9" s="17" t="s">
        <v>4</v>
      </c>
    </row>
    <row r="10" spans="2:11" s="2" customFormat="1" ht="24" customHeight="1" thickTop="1">
      <c r="B10" s="88">
        <v>1</v>
      </c>
      <c r="C10" s="89">
        <f>(1.06*10^-5)*B10^2+(-0.0075)*B10+4.17</f>
        <v>4.1625106000000001</v>
      </c>
      <c r="D10" s="89">
        <f>$C$6+((1-$C$6/(C10))*B10/1000)</f>
        <v>0.99896479169777008</v>
      </c>
      <c r="E10" s="90">
        <f>D10*1000-B10</f>
        <v>997.96479169777012</v>
      </c>
      <c r="H10" s="30">
        <f>B10/C10</f>
        <v>0.24023962845884403</v>
      </c>
      <c r="I10" s="11">
        <f>1000-H10</f>
        <v>999.75976037154112</v>
      </c>
      <c r="J10" s="11">
        <f>I10*$C$6</f>
        <v>997.96479169777001</v>
      </c>
      <c r="K10" s="20">
        <f>(J10+B10)/1000</f>
        <v>0.99896479169776997</v>
      </c>
    </row>
    <row r="11" spans="2:11" s="2" customFormat="1" ht="24" customHeight="1">
      <c r="B11" s="94">
        <v>4</v>
      </c>
      <c r="C11" s="95">
        <f t="shared" ref="C11:C21" si="0">(1.06*10^-5)*B11^2+(-0.0075)*B11+4.17</f>
        <v>4.1401696000000001</v>
      </c>
      <c r="D11" s="95">
        <f t="shared" ref="D11:D21" si="1">$C$6+((1-$C$6/(C11))*B11/1000)</f>
        <v>1.0012401906192829</v>
      </c>
      <c r="E11" s="96">
        <f t="shared" ref="E11:E21" si="2">D11*1000-B11</f>
        <v>997.24019061928288</v>
      </c>
      <c r="H11" s="31">
        <f t="shared" ref="H11:H21" si="3">B11/C11</f>
        <v>0.96614399564694153</v>
      </c>
      <c r="I11" s="7">
        <f t="shared" ref="I11:I21" si="4">1000-H11</f>
        <v>999.03385600435308</v>
      </c>
      <c r="J11" s="7">
        <f t="shared" ref="J11:J21" si="5">I11*$C$6</f>
        <v>997.24019061928288</v>
      </c>
      <c r="K11" s="21">
        <f t="shared" ref="K11:K21" si="6">(J11+B11)/1000</f>
        <v>1.0012401906192829</v>
      </c>
    </row>
    <row r="12" spans="2:11" s="2" customFormat="1" ht="24" customHeight="1">
      <c r="B12" s="91">
        <v>10</v>
      </c>
      <c r="C12" s="92">
        <f t="shared" si="0"/>
        <v>4.0960599999999996</v>
      </c>
      <c r="D12" s="92">
        <f t="shared" si="1"/>
        <v>1.0057676127488366</v>
      </c>
      <c r="E12" s="93">
        <f t="shared" si="2"/>
        <v>995.76761274883665</v>
      </c>
      <c r="H12" s="31">
        <f t="shared" si="3"/>
        <v>2.4413704877369962</v>
      </c>
      <c r="I12" s="7">
        <f t="shared" si="4"/>
        <v>997.558629512263</v>
      </c>
      <c r="J12" s="7">
        <f t="shared" si="5"/>
        <v>995.76761274883665</v>
      </c>
      <c r="K12" s="21">
        <f t="shared" si="6"/>
        <v>1.0057676127488366</v>
      </c>
    </row>
    <row r="13" spans="2:11" s="3" customFormat="1" ht="24" customHeight="1">
      <c r="B13" s="94">
        <v>16</v>
      </c>
      <c r="C13" s="95">
        <f t="shared" si="0"/>
        <v>4.0527135999999997</v>
      </c>
      <c r="D13" s="95">
        <f t="shared" si="1"/>
        <v>1.0102637161438104</v>
      </c>
      <c r="E13" s="96">
        <f t="shared" si="2"/>
        <v>994.26371614381037</v>
      </c>
      <c r="H13" s="32">
        <f t="shared" si="3"/>
        <v>3.9479720451995428</v>
      </c>
      <c r="I13" s="8">
        <f t="shared" si="4"/>
        <v>996.05202795480045</v>
      </c>
      <c r="J13" s="8">
        <f t="shared" si="5"/>
        <v>994.26371614381037</v>
      </c>
      <c r="K13" s="22">
        <f t="shared" si="6"/>
        <v>1.0102637161438104</v>
      </c>
    </row>
    <row r="14" spans="2:11" s="2" customFormat="1" ht="24" customHeight="1">
      <c r="B14" s="91">
        <v>20</v>
      </c>
      <c r="C14" s="92">
        <f t="shared" si="0"/>
        <v>4.0242399999999998</v>
      </c>
      <c r="D14" s="92">
        <f t="shared" si="1"/>
        <v>1.0132436404150846</v>
      </c>
      <c r="E14" s="93">
        <f t="shared" si="2"/>
        <v>993.24364041508466</v>
      </c>
      <c r="H14" s="31">
        <f t="shared" si="3"/>
        <v>4.969882511977417</v>
      </c>
      <c r="I14" s="7">
        <f t="shared" si="4"/>
        <v>995.0301174880226</v>
      </c>
      <c r="J14" s="7">
        <f t="shared" si="5"/>
        <v>993.24364041508466</v>
      </c>
      <c r="K14" s="21">
        <f t="shared" si="6"/>
        <v>1.0132436404150846</v>
      </c>
    </row>
    <row r="15" spans="2:11" s="2" customFormat="1" ht="24" customHeight="1">
      <c r="B15" s="94">
        <v>36</v>
      </c>
      <c r="C15" s="95">
        <f t="shared" si="0"/>
        <v>3.9137376000000001</v>
      </c>
      <c r="D15" s="95">
        <f t="shared" si="1"/>
        <v>1.0250227464184007</v>
      </c>
      <c r="E15" s="96">
        <f t="shared" si="2"/>
        <v>989.02274641840086</v>
      </c>
      <c r="H15" s="31">
        <f t="shared" si="3"/>
        <v>9.1983683321027954</v>
      </c>
      <c r="I15" s="7">
        <f t="shared" si="4"/>
        <v>990.80163166789725</v>
      </c>
      <c r="J15" s="7">
        <f t="shared" si="5"/>
        <v>989.02274641840074</v>
      </c>
      <c r="K15" s="21">
        <f t="shared" si="6"/>
        <v>1.025022746418401</v>
      </c>
    </row>
    <row r="16" spans="2:11" s="2" customFormat="1" ht="24" customHeight="1">
      <c r="B16" s="91">
        <v>64</v>
      </c>
      <c r="C16" s="92">
        <f t="shared" si="0"/>
        <v>3.7334176000000001</v>
      </c>
      <c r="D16" s="92">
        <f t="shared" si="1"/>
        <v>1.0450929073782049</v>
      </c>
      <c r="E16" s="93">
        <f t="shared" si="2"/>
        <v>981.09290737820493</v>
      </c>
      <c r="H16" s="31">
        <f t="shared" si="3"/>
        <v>17.142470212815194</v>
      </c>
      <c r="I16" s="7">
        <f t="shared" si="4"/>
        <v>982.85752978718483</v>
      </c>
      <c r="J16" s="7">
        <f t="shared" si="5"/>
        <v>981.09290737820493</v>
      </c>
      <c r="K16" s="21">
        <f t="shared" si="6"/>
        <v>1.0450929073782049</v>
      </c>
    </row>
    <row r="17" spans="2:11" s="3" customFormat="1" ht="24" customHeight="1">
      <c r="B17" s="94">
        <v>80</v>
      </c>
      <c r="C17" s="95">
        <f t="shared" si="0"/>
        <v>3.6378399999999997</v>
      </c>
      <c r="D17" s="95">
        <f t="shared" si="1"/>
        <v>1.0562530111450752</v>
      </c>
      <c r="E17" s="96">
        <f t="shared" si="2"/>
        <v>976.25301114507511</v>
      </c>
      <c r="H17" s="32">
        <f t="shared" si="3"/>
        <v>21.991071624920284</v>
      </c>
      <c r="I17" s="8">
        <f t="shared" si="4"/>
        <v>978.00892837507968</v>
      </c>
      <c r="J17" s="8">
        <f t="shared" si="5"/>
        <v>976.25301114507511</v>
      </c>
      <c r="K17" s="22">
        <f t="shared" si="6"/>
        <v>1.0562530111450752</v>
      </c>
    </row>
    <row r="18" spans="2:11" s="2" customFormat="1" ht="24" customHeight="1">
      <c r="B18" s="91">
        <v>100</v>
      </c>
      <c r="C18" s="92">
        <f t="shared" si="0"/>
        <v>3.5259999999999998</v>
      </c>
      <c r="D18" s="92">
        <f t="shared" si="1"/>
        <v>1.0698947701644923</v>
      </c>
      <c r="E18" s="93">
        <f t="shared" si="2"/>
        <v>969.89477016449223</v>
      </c>
      <c r="H18" s="31">
        <f t="shared" si="3"/>
        <v>28.36074872376631</v>
      </c>
      <c r="I18" s="7">
        <f t="shared" si="4"/>
        <v>971.63925127623372</v>
      </c>
      <c r="J18" s="7">
        <f t="shared" si="5"/>
        <v>969.89477016449234</v>
      </c>
      <c r="K18" s="21">
        <f t="shared" si="6"/>
        <v>1.0698947701644925</v>
      </c>
    </row>
    <row r="19" spans="2:11" s="2" customFormat="1" ht="24" customHeight="1">
      <c r="B19" s="94">
        <v>128</v>
      </c>
      <c r="C19" s="95">
        <f t="shared" si="0"/>
        <v>3.3836703999999997</v>
      </c>
      <c r="D19" s="95">
        <f t="shared" si="1"/>
        <v>1.0884437741228696</v>
      </c>
      <c r="E19" s="96">
        <f t="shared" si="2"/>
        <v>960.44377412286963</v>
      </c>
      <c r="H19" s="31">
        <f t="shared" si="3"/>
        <v>37.828743603395893</v>
      </c>
      <c r="I19" s="7">
        <f t="shared" si="4"/>
        <v>962.17125639660412</v>
      </c>
      <c r="J19" s="7">
        <f t="shared" si="5"/>
        <v>960.44377412286963</v>
      </c>
      <c r="K19" s="21">
        <f t="shared" si="6"/>
        <v>1.0884437741228696</v>
      </c>
    </row>
    <row r="20" spans="2:11" s="2" customFormat="1" ht="24" customHeight="1">
      <c r="B20" s="91">
        <v>200</v>
      </c>
      <c r="C20" s="92">
        <f t="shared" si="0"/>
        <v>3.0940000000000003</v>
      </c>
      <c r="D20" s="92">
        <f t="shared" si="1"/>
        <v>1.1336794157724628</v>
      </c>
      <c r="E20" s="93">
        <f t="shared" si="2"/>
        <v>933.67941577246279</v>
      </c>
      <c r="H20" s="31">
        <f t="shared" si="3"/>
        <v>64.641241111829345</v>
      </c>
      <c r="I20" s="7">
        <f t="shared" si="4"/>
        <v>935.35875888817066</v>
      </c>
      <c r="J20" s="7">
        <f t="shared" si="5"/>
        <v>933.67941577246279</v>
      </c>
      <c r="K20" s="21">
        <f t="shared" si="6"/>
        <v>1.1336794157724628</v>
      </c>
    </row>
    <row r="21" spans="2:11" s="2" customFormat="1" ht="24" customHeight="1" thickBot="1">
      <c r="B21" s="97">
        <v>256</v>
      </c>
      <c r="C21" s="98">
        <f t="shared" si="0"/>
        <v>2.9446816</v>
      </c>
      <c r="D21" s="98">
        <f t="shared" si="1"/>
        <v>1.1674242915279398</v>
      </c>
      <c r="E21" s="99">
        <f t="shared" si="2"/>
        <v>911.42429152793989</v>
      </c>
      <c r="H21" s="33">
        <f t="shared" si="3"/>
        <v>86.936394073980694</v>
      </c>
      <c r="I21" s="18">
        <f t="shared" si="4"/>
        <v>913.06360592601936</v>
      </c>
      <c r="J21" s="18">
        <f t="shared" si="5"/>
        <v>911.42429152793977</v>
      </c>
      <c r="K21" s="23">
        <f t="shared" si="6"/>
        <v>1.1674242915279396</v>
      </c>
    </row>
    <row r="22" spans="2:11" ht="14.25" customHeight="1" thickTop="1">
      <c r="D22" s="4"/>
    </row>
    <row r="23" spans="2:11">
      <c r="B23" t="s">
        <v>1</v>
      </c>
    </row>
    <row r="24" spans="2:11">
      <c r="B24" t="s">
        <v>12</v>
      </c>
    </row>
    <row r="25" spans="2:11">
      <c r="B25" t="s">
        <v>117</v>
      </c>
    </row>
    <row r="26" spans="2:11">
      <c r="B26" t="s">
        <v>22</v>
      </c>
    </row>
    <row r="28" spans="2:11">
      <c r="B28" s="19" t="s">
        <v>2</v>
      </c>
    </row>
    <row r="29" spans="2:11">
      <c r="B29" t="s">
        <v>13</v>
      </c>
    </row>
    <row r="32" spans="2:11">
      <c r="B32" t="s">
        <v>118</v>
      </c>
    </row>
    <row r="34" spans="9:9">
      <c r="I34">
        <v>1</v>
      </c>
    </row>
  </sheetData>
  <mergeCells count="2">
    <mergeCell ref="B1:E1"/>
    <mergeCell ref="B3:E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B14" sqref="B14"/>
    </sheetView>
  </sheetViews>
  <sheetFormatPr defaultRowHeight="15"/>
  <cols>
    <col min="1" max="1" width="36.28515625" customWidth="1"/>
    <col min="6" max="6" width="10" bestFit="1" customWidth="1"/>
  </cols>
  <sheetData>
    <row r="1" spans="1:13">
      <c r="A1" s="45" t="s">
        <v>34</v>
      </c>
      <c r="F1" s="48" t="s">
        <v>47</v>
      </c>
      <c r="G1" s="48"/>
      <c r="H1" s="48"/>
      <c r="I1" s="48"/>
      <c r="J1" s="48"/>
      <c r="K1" s="48"/>
      <c r="L1" s="48"/>
      <c r="M1" s="48"/>
    </row>
    <row r="2" spans="1:13">
      <c r="F2" s="48" t="s">
        <v>45</v>
      </c>
      <c r="G2" s="48" t="s">
        <v>46</v>
      </c>
      <c r="H2" s="48"/>
      <c r="I2" s="48"/>
      <c r="J2" s="48"/>
      <c r="K2" s="48"/>
      <c r="L2" s="48"/>
      <c r="M2" s="48" t="s">
        <v>45</v>
      </c>
    </row>
    <row r="3" spans="1:13">
      <c r="A3" t="s">
        <v>30</v>
      </c>
      <c r="F3" s="48" t="s">
        <v>45</v>
      </c>
      <c r="G3" s="48" t="s">
        <v>42</v>
      </c>
      <c r="H3" s="48"/>
      <c r="I3" s="48"/>
      <c r="J3" s="48"/>
      <c r="K3" s="48"/>
      <c r="L3" s="48"/>
      <c r="M3" s="48" t="s">
        <v>45</v>
      </c>
    </row>
    <row r="4" spans="1:13">
      <c r="A4" s="39" t="s">
        <v>41</v>
      </c>
      <c r="B4" s="40" t="s">
        <v>44</v>
      </c>
      <c r="F4" s="48" t="s">
        <v>45</v>
      </c>
      <c r="G4" s="48" t="s">
        <v>43</v>
      </c>
      <c r="H4" s="48"/>
      <c r="I4" s="48"/>
      <c r="J4" s="48"/>
      <c r="K4" s="48"/>
      <c r="L4" s="48"/>
      <c r="M4" s="48" t="s">
        <v>45</v>
      </c>
    </row>
    <row r="5" spans="1:13">
      <c r="A5" s="34" t="s">
        <v>23</v>
      </c>
      <c r="B5" s="35">
        <v>26</v>
      </c>
      <c r="F5" s="48" t="s">
        <v>45</v>
      </c>
      <c r="G5" s="48" t="s">
        <v>44</v>
      </c>
      <c r="H5" s="48"/>
      <c r="I5" s="48"/>
      <c r="J5" s="48"/>
      <c r="K5" s="48"/>
      <c r="L5" s="48"/>
      <c r="M5" s="48" t="s">
        <v>45</v>
      </c>
    </row>
    <row r="6" spans="1:13">
      <c r="A6" s="34" t="s">
        <v>27</v>
      </c>
      <c r="B6" s="84">
        <v>16</v>
      </c>
      <c r="F6" s="48" t="s">
        <v>47</v>
      </c>
      <c r="G6" s="48"/>
      <c r="H6" s="48"/>
      <c r="I6" s="48"/>
      <c r="J6" s="48"/>
      <c r="K6" s="48"/>
      <c r="L6" s="48"/>
      <c r="M6" s="48"/>
    </row>
    <row r="7" spans="1:13">
      <c r="A7" s="39" t="s">
        <v>31</v>
      </c>
      <c r="B7" s="40">
        <v>1</v>
      </c>
    </row>
    <row r="10" spans="1:13">
      <c r="A10" t="s">
        <v>28</v>
      </c>
    </row>
    <row r="11" spans="1:13">
      <c r="A11" s="34" t="s">
        <v>24</v>
      </c>
      <c r="B11" s="36">
        <f>-B5*B5*0.00000495-0.00000777*B5+1.00034</f>
        <v>0.99679178000000002</v>
      </c>
    </row>
    <row r="12" spans="1:13">
      <c r="A12" s="34" t="s">
        <v>25</v>
      </c>
      <c r="B12" s="36">
        <v>0.99819999999999998</v>
      </c>
    </row>
    <row r="13" spans="1:13">
      <c r="A13" s="34" t="s">
        <v>120</v>
      </c>
      <c r="B13" s="37">
        <f>IF(B4="NaCl",0.000002*B6*B6-0.0028*B6+3.4,0.0000106*B6*B6-0.0075*B6+4.17)</f>
        <v>4.0527135999999997</v>
      </c>
    </row>
    <row r="14" spans="1:13">
      <c r="A14" s="34" t="s">
        <v>26</v>
      </c>
      <c r="B14" s="36">
        <f>B11+((1-B11/(B13))*B6/1000)</f>
        <v>1.0088564739176753</v>
      </c>
    </row>
    <row r="16" spans="1:13">
      <c r="A16" s="38" t="s">
        <v>29</v>
      </c>
    </row>
    <row r="17" spans="1:2">
      <c r="A17" s="41" t="s">
        <v>32</v>
      </c>
      <c r="B17" s="82">
        <f>B6*B7</f>
        <v>16</v>
      </c>
    </row>
    <row r="18" spans="1:2">
      <c r="A18" s="41" t="s">
        <v>33</v>
      </c>
      <c r="B18" s="82">
        <f>(B14*1000-B6)*B7</f>
        <v>992.85647391767532</v>
      </c>
    </row>
    <row r="21" spans="1:2">
      <c r="A21" s="42" t="s">
        <v>35</v>
      </c>
    </row>
    <row r="22" spans="1:2">
      <c r="A22" s="43" t="s">
        <v>36</v>
      </c>
    </row>
    <row r="23" spans="1:2">
      <c r="A23" s="44" t="s">
        <v>37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B4">
      <formula1>$G$4:$G$5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opLeftCell="A3" workbookViewId="0">
      <selection activeCell="D16" sqref="D16"/>
    </sheetView>
  </sheetViews>
  <sheetFormatPr defaultRowHeight="15"/>
  <cols>
    <col min="1" max="1" width="38.28515625" customWidth="1"/>
    <col min="2" max="3" width="11.140625" customWidth="1"/>
    <col min="6" max="6" width="10" bestFit="1" customWidth="1"/>
  </cols>
  <sheetData>
    <row r="1" spans="1:13">
      <c r="A1" s="45" t="s">
        <v>96</v>
      </c>
      <c r="F1" s="48" t="s">
        <v>47</v>
      </c>
      <c r="G1" s="48"/>
      <c r="H1" s="48"/>
      <c r="I1" s="48"/>
      <c r="J1" s="48"/>
      <c r="K1" s="48"/>
      <c r="L1" s="48"/>
      <c r="M1" s="48"/>
    </row>
    <row r="2" spans="1:13">
      <c r="A2" t="s">
        <v>97</v>
      </c>
      <c r="F2" s="48" t="s">
        <v>45</v>
      </c>
      <c r="G2" s="48" t="s">
        <v>46</v>
      </c>
      <c r="H2" s="48"/>
      <c r="I2" s="48"/>
      <c r="J2" s="48"/>
      <c r="K2" s="48"/>
      <c r="L2" s="48"/>
      <c r="M2" s="48" t="s">
        <v>45</v>
      </c>
    </row>
    <row r="3" spans="1:13">
      <c r="B3" s="81" t="s">
        <v>108</v>
      </c>
      <c r="C3" s="81" t="s">
        <v>109</v>
      </c>
      <c r="F3" s="48" t="s">
        <v>45</v>
      </c>
      <c r="G3" s="48" t="s">
        <v>42</v>
      </c>
      <c r="H3" s="48"/>
      <c r="I3" s="48"/>
      <c r="J3" s="48"/>
      <c r="K3" s="48"/>
      <c r="L3" s="48"/>
      <c r="M3" s="48" t="s">
        <v>45</v>
      </c>
    </row>
    <row r="4" spans="1:13">
      <c r="A4" t="s">
        <v>95</v>
      </c>
      <c r="B4" s="81" t="s">
        <v>112</v>
      </c>
      <c r="C4" s="81" t="s">
        <v>113</v>
      </c>
      <c r="F4" s="48" t="s">
        <v>45</v>
      </c>
      <c r="G4" s="48" t="s">
        <v>43</v>
      </c>
      <c r="H4" s="48"/>
      <c r="I4" s="48"/>
      <c r="J4" s="48"/>
      <c r="K4" s="48"/>
      <c r="L4" s="48"/>
      <c r="M4" s="48" t="s">
        <v>45</v>
      </c>
    </row>
    <row r="5" spans="1:13">
      <c r="A5" s="39" t="s">
        <v>92</v>
      </c>
      <c r="B5" s="71">
        <v>0.5</v>
      </c>
      <c r="C5" s="74" t="s">
        <v>111</v>
      </c>
      <c r="F5" s="48" t="s">
        <v>45</v>
      </c>
      <c r="G5" s="48" t="s">
        <v>44</v>
      </c>
      <c r="H5" s="48"/>
      <c r="I5" s="48"/>
      <c r="J5" s="48"/>
      <c r="K5" s="48"/>
      <c r="L5" s="48"/>
      <c r="M5" s="48" t="s">
        <v>45</v>
      </c>
    </row>
    <row r="6" spans="1:13">
      <c r="A6" s="39" t="s">
        <v>99</v>
      </c>
      <c r="B6" s="71">
        <f>10*45.6</f>
        <v>456</v>
      </c>
      <c r="C6" s="74" t="s">
        <v>111</v>
      </c>
      <c r="F6" s="48" t="s">
        <v>47</v>
      </c>
      <c r="G6" s="48"/>
      <c r="H6" s="48"/>
      <c r="I6" s="48"/>
      <c r="J6" s="48"/>
      <c r="K6" s="48"/>
      <c r="L6" s="48"/>
      <c r="M6" s="48"/>
    </row>
    <row r="7" spans="1:13">
      <c r="A7" s="39" t="s">
        <v>91</v>
      </c>
      <c r="B7" s="71">
        <v>2.78</v>
      </c>
      <c r="C7" s="74" t="s">
        <v>111</v>
      </c>
    </row>
    <row r="8" spans="1:13">
      <c r="A8" s="72" t="s">
        <v>93</v>
      </c>
      <c r="B8" s="71">
        <v>0.2</v>
      </c>
      <c r="C8" s="74" t="s">
        <v>111</v>
      </c>
      <c r="D8" t="s">
        <v>94</v>
      </c>
    </row>
    <row r="9" spans="1:13">
      <c r="A9" s="72" t="s">
        <v>100</v>
      </c>
      <c r="B9" s="71">
        <v>100</v>
      </c>
      <c r="C9" s="71">
        <v>100</v>
      </c>
    </row>
    <row r="10" spans="1:13">
      <c r="A10" s="39" t="s">
        <v>41</v>
      </c>
      <c r="B10" s="71" t="s">
        <v>44</v>
      </c>
      <c r="C10" s="71" t="s">
        <v>44</v>
      </c>
    </row>
    <row r="11" spans="1:13">
      <c r="A11" s="69" t="s">
        <v>101</v>
      </c>
      <c r="B11" s="70">
        <v>24</v>
      </c>
      <c r="C11" s="70">
        <v>20</v>
      </c>
    </row>
    <row r="12" spans="1:13">
      <c r="A12" s="69" t="s">
        <v>102</v>
      </c>
      <c r="B12" s="70">
        <v>16</v>
      </c>
      <c r="C12" s="70">
        <v>16</v>
      </c>
    </row>
    <row r="13" spans="1:13">
      <c r="A13" s="72" t="s">
        <v>110</v>
      </c>
      <c r="B13" s="75" t="s">
        <v>111</v>
      </c>
      <c r="C13" s="71">
        <v>1400</v>
      </c>
    </row>
    <row r="14" spans="1:13">
      <c r="B14" s="76"/>
      <c r="C14" s="76"/>
    </row>
    <row r="15" spans="1:13">
      <c r="A15" t="s">
        <v>28</v>
      </c>
      <c r="B15" s="76"/>
      <c r="C15" s="76"/>
    </row>
    <row r="16" spans="1:13">
      <c r="A16" s="34" t="s">
        <v>24</v>
      </c>
      <c r="B16" s="77">
        <f>-B11*B11*0.00000495-0.00000777*B11+1.00034</f>
        <v>0.99730231999999996</v>
      </c>
      <c r="C16" s="77">
        <f>-C11*C11*0.00000495-0.00000777*C11+1.00034</f>
        <v>0.9982046</v>
      </c>
    </row>
    <row r="17" spans="1:3">
      <c r="A17" s="34" t="s">
        <v>25</v>
      </c>
      <c r="B17" s="77">
        <v>0.99819999999999998</v>
      </c>
      <c r="C17" s="77">
        <v>0.99819999999999998</v>
      </c>
    </row>
    <row r="18" spans="1:3">
      <c r="A18" s="34" t="s">
        <v>120</v>
      </c>
      <c r="B18" s="80">
        <f>IF(B10="NaCl",0.000002*B12*B12-0.0028*B12+3.4,0.0000106*B12*B12-0.0075*B12+4.17)</f>
        <v>4.0527135999999997</v>
      </c>
      <c r="C18" s="80">
        <f>IF(C10="NaCl",0.000002*C12*C12-0.0028*C12+3.4,0.0000106*C12*C12-0.0075*C12+4.17)</f>
        <v>4.0527135999999997</v>
      </c>
    </row>
    <row r="19" spans="1:3">
      <c r="A19" s="34" t="s">
        <v>26</v>
      </c>
      <c r="B19" s="77">
        <f>B16+((1-B16/(B18))*B12/1000)</f>
        <v>1.0093649983200272</v>
      </c>
      <c r="C19" s="77">
        <f>C16+((1-C16/(C18))*C12/1000)</f>
        <v>1.0102637161438104</v>
      </c>
    </row>
    <row r="20" spans="1:3">
      <c r="A20" s="41" t="s">
        <v>103</v>
      </c>
      <c r="B20" s="79">
        <f>(B19*1000-B12)</f>
        <v>993.36499832002721</v>
      </c>
      <c r="C20" s="79">
        <f>(C19*1000-C12)</f>
        <v>994.26371614381037</v>
      </c>
    </row>
    <row r="21" spans="1:3">
      <c r="A21" s="41" t="s">
        <v>106</v>
      </c>
      <c r="B21" s="79">
        <f>B20/B12</f>
        <v>62.085312395001701</v>
      </c>
      <c r="C21" s="79">
        <f>C20/C12</f>
        <v>62.141482258988148</v>
      </c>
    </row>
    <row r="22" spans="1:3">
      <c r="B22" s="76"/>
      <c r="C22" s="76"/>
    </row>
    <row r="23" spans="1:3">
      <c r="A23" s="38" t="s">
        <v>29</v>
      </c>
      <c r="B23" s="76"/>
      <c r="C23" s="76"/>
    </row>
    <row r="24" spans="1:3">
      <c r="A24" s="73" t="s">
        <v>98</v>
      </c>
      <c r="B24" s="78">
        <f>(B6*B7)/(1+B5)*(1+B8)</f>
        <v>1014.1439999999998</v>
      </c>
      <c r="C24" s="78">
        <f>C13</f>
        <v>1400</v>
      </c>
    </row>
    <row r="25" spans="1:3">
      <c r="A25" s="73" t="s">
        <v>104</v>
      </c>
      <c r="B25" s="78">
        <f>B9/100*B24/(B21-B9/100)</f>
        <v>16.602092389118763</v>
      </c>
      <c r="C25" s="78">
        <f>C9/100*C24/(C21-C9/100)</f>
        <v>22.89771114919596</v>
      </c>
    </row>
    <row r="26" spans="1:3">
      <c r="A26" s="73" t="s">
        <v>8</v>
      </c>
      <c r="B26" s="78">
        <f>B25*B21</f>
        <v>1030.7460923891185</v>
      </c>
      <c r="C26" s="78">
        <f>C25*C21</f>
        <v>1422.8977111491959</v>
      </c>
    </row>
    <row r="27" spans="1:3">
      <c r="A27" s="38"/>
      <c r="B27" s="76"/>
      <c r="C27" s="76"/>
    </row>
    <row r="28" spans="1:3">
      <c r="A28" s="38" t="s">
        <v>107</v>
      </c>
      <c r="B28" s="76"/>
      <c r="C28" s="76"/>
    </row>
    <row r="29" spans="1:3">
      <c r="A29" s="41" t="s">
        <v>105</v>
      </c>
      <c r="B29" s="75">
        <f>B26/(B25+B24)*100</f>
        <v>100</v>
      </c>
      <c r="C29" s="75">
        <f>C26/(C25+C24)*100</f>
        <v>100</v>
      </c>
    </row>
    <row r="31" spans="1:3">
      <c r="A31" s="42" t="s">
        <v>35</v>
      </c>
    </row>
    <row r="32" spans="1:3">
      <c r="A32" s="43" t="s">
        <v>36</v>
      </c>
    </row>
    <row r="33" spans="1:1">
      <c r="A33" s="44" t="s">
        <v>37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B10:C10">
      <formula1>$G$4:$G$5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2"/>
  <sheetViews>
    <sheetView topLeftCell="A23" workbookViewId="0">
      <selection activeCell="B39" sqref="B39"/>
    </sheetView>
  </sheetViews>
  <sheetFormatPr defaultRowHeight="15"/>
  <cols>
    <col min="1" max="1" width="36.140625" customWidth="1"/>
  </cols>
  <sheetData>
    <row r="1" spans="1:19" ht="23.25">
      <c r="A1" s="49" t="s">
        <v>48</v>
      </c>
      <c r="L1" s="48" t="s">
        <v>47</v>
      </c>
      <c r="M1" s="48"/>
      <c r="N1" s="48"/>
      <c r="O1" s="48"/>
      <c r="P1" s="48"/>
      <c r="Q1" s="48"/>
      <c r="R1" s="48"/>
      <c r="S1" s="48"/>
    </row>
    <row r="2" spans="1:19">
      <c r="A2" t="s">
        <v>127</v>
      </c>
      <c r="L2" s="48" t="s">
        <v>45</v>
      </c>
      <c r="M2" s="48" t="s">
        <v>46</v>
      </c>
      <c r="N2" s="48"/>
      <c r="O2" s="48"/>
      <c r="P2" s="48"/>
      <c r="Q2" s="48"/>
      <c r="R2" s="48"/>
      <c r="S2" s="48" t="s">
        <v>45</v>
      </c>
    </row>
    <row r="3" spans="1:19">
      <c r="A3" t="s">
        <v>128</v>
      </c>
      <c r="B3" s="85" t="s">
        <v>49</v>
      </c>
      <c r="C3" s="85"/>
      <c r="L3" s="48" t="s">
        <v>45</v>
      </c>
      <c r="M3" s="48" t="s">
        <v>42</v>
      </c>
      <c r="N3" s="48"/>
      <c r="O3" s="48"/>
      <c r="P3" s="48"/>
      <c r="Q3" s="48"/>
      <c r="R3" s="48"/>
      <c r="S3" s="48" t="s">
        <v>45</v>
      </c>
    </row>
    <row r="4" spans="1:19">
      <c r="A4" t="s">
        <v>50</v>
      </c>
      <c r="L4" s="48" t="s">
        <v>45</v>
      </c>
      <c r="M4" s="48" t="s">
        <v>43</v>
      </c>
      <c r="N4" s="48"/>
      <c r="O4" s="48"/>
      <c r="P4" s="48"/>
      <c r="Q4" s="48"/>
      <c r="R4" s="48"/>
      <c r="S4" s="48" t="s">
        <v>45</v>
      </c>
    </row>
    <row r="5" spans="1:19">
      <c r="L5" s="48" t="s">
        <v>45</v>
      </c>
      <c r="M5" s="48" t="s">
        <v>44</v>
      </c>
      <c r="N5" s="48"/>
      <c r="O5" s="48"/>
      <c r="P5" s="48"/>
      <c r="Q5" s="48"/>
      <c r="R5" s="48"/>
      <c r="S5" s="48" t="s">
        <v>45</v>
      </c>
    </row>
    <row r="6" spans="1:19">
      <c r="A6" s="50" t="s">
        <v>51</v>
      </c>
      <c r="B6" s="51"/>
      <c r="C6" s="52"/>
      <c r="L6" s="48" t="s">
        <v>47</v>
      </c>
      <c r="M6" s="48"/>
      <c r="N6" s="48"/>
      <c r="O6" s="48"/>
      <c r="P6" s="48"/>
      <c r="Q6" s="48"/>
      <c r="R6" s="48"/>
      <c r="S6" s="48"/>
    </row>
    <row r="7" spans="1:19">
      <c r="A7" s="53" t="s">
        <v>52</v>
      </c>
      <c r="B7" s="54">
        <v>1</v>
      </c>
      <c r="C7" s="54">
        <v>2</v>
      </c>
    </row>
    <row r="8" spans="1:19">
      <c r="A8" s="34" t="s">
        <v>53</v>
      </c>
      <c r="B8" s="35"/>
      <c r="C8" s="35"/>
    </row>
    <row r="9" spans="1:19">
      <c r="A9" s="34" t="s">
        <v>54</v>
      </c>
      <c r="B9" s="35"/>
      <c r="C9" s="35"/>
    </row>
    <row r="10" spans="1:19">
      <c r="A10" s="34" t="s">
        <v>55</v>
      </c>
      <c r="B10" s="55"/>
      <c r="C10" s="55"/>
    </row>
    <row r="11" spans="1:19">
      <c r="A11" s="34" t="s">
        <v>56</v>
      </c>
      <c r="B11" s="56">
        <f>B8-B9-B10</f>
        <v>0</v>
      </c>
      <c r="C11" s="56">
        <f>C8-C9-C10</f>
        <v>0</v>
      </c>
    </row>
    <row r="12" spans="1:19">
      <c r="A12" s="34" t="s">
        <v>57</v>
      </c>
      <c r="B12" s="57"/>
      <c r="C12" s="58"/>
    </row>
    <row r="13" spans="1:19">
      <c r="A13" s="34" t="s">
        <v>58</v>
      </c>
      <c r="B13" s="55"/>
      <c r="C13" s="55"/>
    </row>
    <row r="14" spans="1:19">
      <c r="A14" s="53" t="s">
        <v>59</v>
      </c>
      <c r="B14" s="53"/>
      <c r="C14" s="53"/>
    </row>
    <row r="15" spans="1:19">
      <c r="A15" s="53" t="s">
        <v>123</v>
      </c>
      <c r="B15" s="41"/>
      <c r="C15" s="41"/>
      <c r="D15" t="s">
        <v>125</v>
      </c>
    </row>
    <row r="16" spans="1:19">
      <c r="A16" s="34" t="s">
        <v>126</v>
      </c>
      <c r="B16" s="55"/>
      <c r="C16" s="55"/>
    </row>
    <row r="17" spans="1:3">
      <c r="A17" s="34" t="s">
        <v>60</v>
      </c>
      <c r="B17" s="55"/>
      <c r="C17" s="55"/>
    </row>
    <row r="18" spans="1:3">
      <c r="A18" s="53" t="s">
        <v>122</v>
      </c>
      <c r="B18" s="83"/>
      <c r="C18" s="83"/>
    </row>
    <row r="19" spans="1:3">
      <c r="A19" s="34" t="s">
        <v>61</v>
      </c>
      <c r="B19" s="55"/>
      <c r="C19" s="35"/>
    </row>
    <row r="20" spans="1:3">
      <c r="A20" s="34" t="s">
        <v>62</v>
      </c>
      <c r="B20" s="55"/>
      <c r="C20" s="35"/>
    </row>
    <row r="21" spans="1:3">
      <c r="A21" s="34" t="s">
        <v>63</v>
      </c>
      <c r="B21" s="55"/>
      <c r="C21" s="35"/>
    </row>
    <row r="22" spans="1:3">
      <c r="A22" s="34" t="s">
        <v>64</v>
      </c>
      <c r="B22" s="59" t="e">
        <f>(B19-B20)/(B20-B21)*100</f>
        <v>#DIV/0!</v>
      </c>
      <c r="C22" s="59" t="e">
        <f>(C19-C20)/(C20-C21)*100</f>
        <v>#DIV/0!</v>
      </c>
    </row>
    <row r="23" spans="1:3">
      <c r="A23" s="53" t="s">
        <v>124</v>
      </c>
      <c r="B23" s="59"/>
      <c r="C23" s="59"/>
    </row>
    <row r="24" spans="1:3">
      <c r="A24" s="34" t="s">
        <v>65</v>
      </c>
      <c r="B24" s="55"/>
      <c r="C24" s="35"/>
    </row>
    <row r="25" spans="1:3">
      <c r="A25" s="34" t="s">
        <v>63</v>
      </c>
      <c r="B25" s="55"/>
      <c r="C25" s="35"/>
    </row>
    <row r="26" spans="1:3">
      <c r="A26" s="34" t="s">
        <v>66</v>
      </c>
      <c r="B26" s="60">
        <f>IF(B16=0,B20-B21+B24-B25,(B16-B17)/(1+B22/100)+B24-B25)</f>
        <v>0</v>
      </c>
      <c r="C26" s="60">
        <f>IF(C16=0,C20-C21+C24-C25,(C16-C17)/(1+C22/100)+C24-C25)</f>
        <v>0</v>
      </c>
    </row>
    <row r="27" spans="1:3">
      <c r="A27" s="53" t="s">
        <v>28</v>
      </c>
      <c r="B27" s="53"/>
      <c r="C27" s="53"/>
    </row>
    <row r="28" spans="1:3">
      <c r="A28" s="61" t="s">
        <v>67</v>
      </c>
      <c r="B28" s="35"/>
      <c r="C28" s="35"/>
    </row>
    <row r="29" spans="1:3">
      <c r="A29" s="61" t="s">
        <v>41</v>
      </c>
      <c r="B29" s="35" t="s">
        <v>43</v>
      </c>
      <c r="C29" s="35" t="s">
        <v>43</v>
      </c>
    </row>
    <row r="30" spans="1:3">
      <c r="A30" s="34" t="s">
        <v>27</v>
      </c>
      <c r="B30" s="35"/>
      <c r="C30" s="35"/>
    </row>
    <row r="31" spans="1:3">
      <c r="A31" s="34" t="s">
        <v>68</v>
      </c>
      <c r="B31" s="35"/>
      <c r="C31" s="35"/>
    </row>
    <row r="32" spans="1:3">
      <c r="A32" s="34" t="s">
        <v>23</v>
      </c>
      <c r="B32" s="35"/>
      <c r="C32" s="35"/>
    </row>
    <row r="33" spans="1:3">
      <c r="A33" s="34" t="s">
        <v>24</v>
      </c>
      <c r="B33" s="36">
        <f>-B32*B32*0.00000495-0.00000777*B32+1.00034</f>
        <v>1.00034</v>
      </c>
      <c r="C33" s="36">
        <f>-C32*C32*0.00000495-0.00000777*C32+1.00034</f>
        <v>1.00034</v>
      </c>
    </row>
    <row r="34" spans="1:3">
      <c r="A34" s="34" t="s">
        <v>25</v>
      </c>
      <c r="B34" s="36">
        <v>0.99819999999999998</v>
      </c>
      <c r="C34" s="62">
        <v>0.99819999999999998</v>
      </c>
    </row>
    <row r="35" spans="1:3">
      <c r="A35" s="34" t="s">
        <v>120</v>
      </c>
      <c r="B35" s="37">
        <f>IF(B29="NaCl",0.000002*B30*B30-0.0028*B30+3.4,0.0000106*B30*B30-0.0075*B30+4.17)</f>
        <v>3.4</v>
      </c>
      <c r="C35" s="37">
        <f>IF(C29="NaCl",0.000002*C30*C30-0.0028*C30+3.4,0.0000106*C30*C30-0.0075*C30+4.17)</f>
        <v>3.4</v>
      </c>
    </row>
    <row r="36" spans="1:3">
      <c r="A36" s="34" t="s">
        <v>26</v>
      </c>
      <c r="B36" s="36">
        <f>B33+((1-B33/(B35))*B30/1000)</f>
        <v>1.00034</v>
      </c>
      <c r="C36" s="36">
        <f>C33+((1-C33/(C35))*C30/1000)</f>
        <v>1.00034</v>
      </c>
    </row>
    <row r="37" spans="1:3">
      <c r="A37" s="53" t="s">
        <v>69</v>
      </c>
      <c r="B37" s="53"/>
      <c r="C37" s="53"/>
    </row>
    <row r="38" spans="1:3">
      <c r="A38" s="34" t="s">
        <v>70</v>
      </c>
      <c r="B38" s="63" t="e">
        <f>B26*B22/100</f>
        <v>#DIV/0!</v>
      </c>
      <c r="C38" s="63" t="e">
        <f>C26*C22/100</f>
        <v>#DIV/0!</v>
      </c>
    </row>
    <row r="39" spans="1:3">
      <c r="A39" s="34" t="s">
        <v>71</v>
      </c>
      <c r="B39" s="63" t="e">
        <f>(B30/((1000*B36)-B30))*B38</f>
        <v>#DIV/0!</v>
      </c>
      <c r="C39" s="63" t="e">
        <f>(C30/((1000*C36)-C30))*C38</f>
        <v>#DIV/0!</v>
      </c>
    </row>
    <row r="40" spans="1:3">
      <c r="A40" s="34" t="s">
        <v>72</v>
      </c>
      <c r="B40" s="63" t="e">
        <f>B26-B39</f>
        <v>#DIV/0!</v>
      </c>
      <c r="C40" s="63" t="e">
        <f>C26-C39</f>
        <v>#DIV/0!</v>
      </c>
    </row>
    <row r="41" spans="1:3">
      <c r="A41" s="34" t="s">
        <v>73</v>
      </c>
      <c r="B41" s="64" t="e">
        <f>B40/B31/B34</f>
        <v>#DIV/0!</v>
      </c>
      <c r="C41" s="64" t="e">
        <f>C40/C31/C34</f>
        <v>#DIV/0!</v>
      </c>
    </row>
    <row r="42" spans="1:3">
      <c r="A42" s="34" t="s">
        <v>74</v>
      </c>
      <c r="B42" s="64" t="e">
        <f>B41/B13</f>
        <v>#DIV/0!</v>
      </c>
      <c r="C42" s="64" t="e">
        <f>C41/C13</f>
        <v>#DIV/0!</v>
      </c>
    </row>
    <row r="43" spans="1:3">
      <c r="A43" s="34" t="s">
        <v>75</v>
      </c>
      <c r="B43" s="64" t="e">
        <f>B11-B40</f>
        <v>#DIV/0!</v>
      </c>
      <c r="C43" s="64" t="e">
        <f>C11-C40</f>
        <v>#DIV/0!</v>
      </c>
    </row>
    <row r="44" spans="1:3">
      <c r="A44" s="34" t="s">
        <v>76</v>
      </c>
      <c r="B44" s="64" t="e">
        <f>B43/B36</f>
        <v>#DIV/0!</v>
      </c>
      <c r="C44" s="64" t="e">
        <f>C43/C36</f>
        <v>#DIV/0!</v>
      </c>
    </row>
    <row r="45" spans="1:3">
      <c r="A45" s="34" t="s">
        <v>77</v>
      </c>
      <c r="B45" s="64" t="e">
        <f>B44*B30/1000</f>
        <v>#DIV/0!</v>
      </c>
      <c r="C45" s="64" t="e">
        <f>C44*C30/1000</f>
        <v>#DIV/0!</v>
      </c>
    </row>
    <row r="46" spans="1:3">
      <c r="A46" s="53" t="s">
        <v>29</v>
      </c>
      <c r="B46" s="53"/>
      <c r="C46" s="53"/>
    </row>
    <row r="47" spans="1:3">
      <c r="A47" s="61" t="s">
        <v>78</v>
      </c>
      <c r="B47" s="65" t="e">
        <f>(B11-B40-B45)/(B40+B45)*100</f>
        <v>#DIV/0!</v>
      </c>
      <c r="C47" s="65" t="e">
        <f>(C11-C40-C45)/(C40+C45)*100</f>
        <v>#DIV/0!</v>
      </c>
    </row>
    <row r="48" spans="1:3">
      <c r="A48" s="41" t="s">
        <v>79</v>
      </c>
      <c r="B48" s="66" t="e">
        <f>(B12*B13-B41)/B41</f>
        <v>#DIV/0!</v>
      </c>
      <c r="C48" s="66" t="e">
        <f>(C12*C13-C41)/C41</f>
        <v>#DIV/0!</v>
      </c>
    </row>
    <row r="49" spans="1:3">
      <c r="A49" s="34" t="s">
        <v>80</v>
      </c>
      <c r="B49" s="65" t="e">
        <f>(B44)/(B12*B13-B41)*100</f>
        <v>#DIV/0!</v>
      </c>
      <c r="C49" s="65" t="e">
        <f>(C44)/(C12*C13-C41)*100</f>
        <v>#DIV/0!</v>
      </c>
    </row>
    <row r="50" spans="1:3">
      <c r="A50" s="34" t="s">
        <v>81</v>
      </c>
      <c r="B50" s="66" t="e">
        <f>B11/B12/B13</f>
        <v>#DIV/0!</v>
      </c>
      <c r="C50" s="66" t="e">
        <f>C11/C12/C13</f>
        <v>#DIV/0!</v>
      </c>
    </row>
    <row r="51" spans="1:3">
      <c r="A51" s="34" t="s">
        <v>82</v>
      </c>
      <c r="B51" s="66" t="e">
        <f>B26/B13/B12</f>
        <v>#DIV/0!</v>
      </c>
      <c r="C51" s="66" t="e">
        <f>C26/C13/C12</f>
        <v>#DIV/0!</v>
      </c>
    </row>
    <row r="52" spans="1:3">
      <c r="A52" s="34" t="s">
        <v>83</v>
      </c>
      <c r="B52" s="66" t="e">
        <f>B48/(1+B48)</f>
        <v>#DIV/0!</v>
      </c>
      <c r="C52" s="66" t="e">
        <f>C48/(1+C48)</f>
        <v>#DIV/0!</v>
      </c>
    </row>
    <row r="54" spans="1:3">
      <c r="A54" s="38" t="s">
        <v>84</v>
      </c>
    </row>
    <row r="55" spans="1:3">
      <c r="A55" s="38" t="s">
        <v>85</v>
      </c>
    </row>
    <row r="56" spans="1:3">
      <c r="A56" s="38" t="s">
        <v>86</v>
      </c>
    </row>
    <row r="57" spans="1:3">
      <c r="A57" s="42" t="s">
        <v>87</v>
      </c>
    </row>
    <row r="58" spans="1:3">
      <c r="A58" s="67" t="s">
        <v>88</v>
      </c>
    </row>
    <row r="59" spans="1:3">
      <c r="A59" s="68" t="s">
        <v>89</v>
      </c>
    </row>
    <row r="60" spans="1:3">
      <c r="A60" s="38" t="s">
        <v>129</v>
      </c>
    </row>
    <row r="61" spans="1:3">
      <c r="A61" s="38" t="s">
        <v>121</v>
      </c>
    </row>
    <row r="62" spans="1:3">
      <c r="A62" s="38" t="s">
        <v>90</v>
      </c>
    </row>
  </sheetData>
  <dataValidations count="1">
    <dataValidation type="list" allowBlank="1" showInputMessage="1" showErrorMessage="1" sqref="B29:C29">
      <formula1>$M$4:$M$5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18"/>
  <sheetViews>
    <sheetView tabSelected="1" workbookViewId="0">
      <selection activeCell="G16" sqref="G16"/>
    </sheetView>
  </sheetViews>
  <sheetFormatPr defaultRowHeight="15"/>
  <sheetData>
    <row r="3" spans="1:1">
      <c r="A3" t="s">
        <v>115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9" spans="1:1" ht="15.75">
      <c r="A9" s="87" t="s">
        <v>163</v>
      </c>
    </row>
    <row r="12" spans="1:1">
      <c r="A12" t="s">
        <v>164</v>
      </c>
    </row>
    <row r="15" spans="1:1">
      <c r="A15" t="s">
        <v>166</v>
      </c>
    </row>
    <row r="18" spans="1:1">
      <c r="A18" t="s">
        <v>165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Info</vt:lpstr>
      <vt:lpstr>1. NaCl Table</vt:lpstr>
      <vt:lpstr>2. SeaSalt Table</vt:lpstr>
      <vt:lpstr>3. Salt Soln Calc Sheet</vt:lpstr>
      <vt:lpstr>4. Resedimentation Calc Sheet</vt:lpstr>
      <vt:lpstr>5. CRS Setup Calcs</vt:lpstr>
      <vt:lpstr>6. Saltwater Viscosity</vt:lpstr>
      <vt:lpstr>'1. NaCl Table'!Print_Area</vt:lpstr>
      <vt:lpstr>'2. SeaSalt Table'!Print_Area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Adams</dc:creator>
  <cp:lastModifiedBy>Amy Adams</cp:lastModifiedBy>
  <cp:lastPrinted>2012-09-27T14:59:23Z</cp:lastPrinted>
  <dcterms:created xsi:type="dcterms:W3CDTF">2012-08-27T20:28:21Z</dcterms:created>
  <dcterms:modified xsi:type="dcterms:W3CDTF">2012-11-19T16:30:30Z</dcterms:modified>
</cp:coreProperties>
</file>