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6985" windowHeight="106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Y4" i="1" l="1"/>
  <c r="X4" i="1"/>
  <c r="Y17" i="1"/>
  <c r="X17" i="1"/>
  <c r="X16" i="1"/>
  <c r="Y16" i="1" s="1"/>
  <c r="Y22" i="1"/>
  <c r="X22" i="1"/>
  <c r="Y21" i="1"/>
  <c r="X21" i="1"/>
  <c r="X6" i="1"/>
  <c r="Y6" i="1" s="1"/>
  <c r="X8" i="1"/>
  <c r="Y8" i="1" s="1"/>
  <c r="X10" i="1"/>
  <c r="Y10" i="1" s="1"/>
  <c r="Y7" i="1"/>
  <c r="X7" i="1"/>
  <c r="X11" i="1"/>
  <c r="Y11" i="1" s="1"/>
  <c r="X3" i="1"/>
  <c r="Y3" i="1" s="1"/>
  <c r="Y14" i="1"/>
  <c r="X14" i="1"/>
  <c r="X5" i="1"/>
  <c r="Y5" i="1" s="1"/>
  <c r="AH20" i="1" l="1"/>
  <c r="AH19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G9" i="1"/>
  <c r="AF9" i="1"/>
  <c r="AF14" i="1"/>
  <c r="AG6" i="1"/>
  <c r="AG16" i="1"/>
  <c r="AG15" i="1"/>
  <c r="AF16" i="1"/>
  <c r="AF20" i="1"/>
  <c r="AF13" i="1"/>
  <c r="AF15" i="1"/>
  <c r="AF22" i="1"/>
  <c r="AG17" i="1"/>
  <c r="AF17" i="1"/>
  <c r="AG4" i="1"/>
  <c r="AF4" i="1"/>
  <c r="AF19" i="1"/>
  <c r="AF6" i="1"/>
  <c r="AF5" i="1"/>
  <c r="AF3" i="1"/>
  <c r="AF21" i="1"/>
  <c r="AF10" i="1"/>
  <c r="S19" i="1"/>
  <c r="R19" i="1"/>
  <c r="S4" i="1"/>
  <c r="R4" i="1"/>
  <c r="R17" i="1"/>
  <c r="S17" i="1"/>
  <c r="R16" i="1"/>
  <c r="S16" i="1"/>
  <c r="S22" i="1"/>
  <c r="R22" i="1"/>
  <c r="S21" i="1"/>
  <c r="R21" i="1"/>
  <c r="S6" i="1"/>
  <c r="R6" i="1"/>
  <c r="S8" i="1"/>
  <c r="R8" i="1"/>
  <c r="Q8" i="1"/>
  <c r="S10" i="1"/>
  <c r="R10" i="1"/>
  <c r="S7" i="1"/>
  <c r="R7" i="1"/>
  <c r="S11" i="1"/>
  <c r="R11" i="1"/>
  <c r="S3" i="1"/>
  <c r="R3" i="1"/>
  <c r="R14" i="1"/>
  <c r="S14" i="1"/>
  <c r="S5" i="1"/>
  <c r="R5" i="1"/>
  <c r="AL15" i="1" l="1"/>
  <c r="AM15" i="1" s="1"/>
  <c r="AL17" i="1"/>
  <c r="AM17" i="1" s="1"/>
  <c r="O17" i="1"/>
  <c r="P17" i="1"/>
  <c r="O16" i="1"/>
  <c r="P16" i="1"/>
  <c r="AL16" i="1"/>
  <c r="AM16" i="1" s="1"/>
  <c r="O15" i="1"/>
  <c r="P15" i="1" s="1"/>
  <c r="AL14" i="1"/>
  <c r="AM14" i="1" s="1"/>
  <c r="O14" i="1"/>
  <c r="P14" i="1"/>
  <c r="AL13" i="1"/>
  <c r="AM13" i="1" s="1"/>
  <c r="O13" i="1"/>
  <c r="P13" i="1"/>
  <c r="Z12" i="1"/>
  <c r="O12" i="1"/>
  <c r="P12" i="1"/>
  <c r="O11" i="1"/>
  <c r="P11" i="1"/>
  <c r="O10" i="1"/>
  <c r="P10" i="1"/>
  <c r="AL10" i="1" s="1"/>
  <c r="AM10" i="1" s="1"/>
  <c r="P9" i="1"/>
  <c r="P8" i="1"/>
  <c r="P7" i="1"/>
  <c r="P6" i="1"/>
  <c r="AL6" i="1" s="1"/>
  <c r="AM6" i="1" s="1"/>
  <c r="P5" i="1"/>
  <c r="AL5" i="1" s="1"/>
  <c r="AM5" i="1" s="1"/>
  <c r="P4" i="1"/>
  <c r="AL4" i="1" s="1"/>
  <c r="P3" i="1"/>
  <c r="P2" i="1"/>
  <c r="O9" i="1"/>
  <c r="AL8" i="1"/>
  <c r="AM8" i="1" s="1"/>
  <c r="O8" i="1"/>
  <c r="AL7" i="1"/>
  <c r="AM7" i="1" s="1"/>
  <c r="O7" i="1"/>
  <c r="O6" i="1"/>
  <c r="AJ5" i="1"/>
  <c r="O5" i="1"/>
  <c r="AJ4" i="1"/>
  <c r="O4" i="1"/>
  <c r="AL3" i="1"/>
  <c r="AM3" i="1" s="1"/>
  <c r="AJ3" i="1"/>
  <c r="O3" i="1"/>
  <c r="AJ2" i="1"/>
  <c r="AL9" i="1" l="1"/>
  <c r="AM9" i="1" s="1"/>
  <c r="AM4" i="1"/>
  <c r="AL2" i="1"/>
  <c r="AM2" i="1" s="1"/>
  <c r="O2" i="1"/>
</calcChain>
</file>

<file path=xl/sharedStrings.xml><?xml version="1.0" encoding="utf-8"?>
<sst xmlns="http://schemas.openxmlformats.org/spreadsheetml/2006/main" count="78" uniqueCount="45">
  <si>
    <t>Hole</t>
  </si>
  <si>
    <t>Core</t>
  </si>
  <si>
    <t>Section</t>
  </si>
  <si>
    <t>Top depth (cm)</t>
  </si>
  <si>
    <t>Bottom depth (cm)</t>
  </si>
  <si>
    <t>Length (cm)</t>
  </si>
  <si>
    <t>Top depth (mbsf)</t>
  </si>
  <si>
    <t>Bottom depth (mbsf)</t>
  </si>
  <si>
    <t>Average depth (mbsf)</t>
  </si>
  <si>
    <t>Bag sample tare (g)</t>
  </si>
  <si>
    <t>Bag sample wet (g)</t>
  </si>
  <si>
    <t>Water content (wt%)</t>
  </si>
  <si>
    <t>H005</t>
  </si>
  <si>
    <t>06FB</t>
  </si>
  <si>
    <t>Bag sample dry (g)</t>
  </si>
  <si>
    <t>Sample in liner (g)</t>
  </si>
  <si>
    <t>Liner wt (g)</t>
  </si>
  <si>
    <t>End caps (g)</t>
  </si>
  <si>
    <t>Subsample 1 (g)</t>
  </si>
  <si>
    <t>Subsample 2 (g)</t>
  </si>
  <si>
    <t>Subsample 3 (g)</t>
  </si>
  <si>
    <t>Subsample 4 (g)</t>
  </si>
  <si>
    <t>Subsample 5 (g)</t>
  </si>
  <si>
    <t>WC subsample tare (g)</t>
  </si>
  <si>
    <t>WC subsample wet (g)</t>
  </si>
  <si>
    <t>WC subsample dry (g)</t>
  </si>
  <si>
    <t>CT volume</t>
  </si>
  <si>
    <t>Total dry wt (g)</t>
  </si>
  <si>
    <t>Grain density</t>
  </si>
  <si>
    <t>Grain volume</t>
  </si>
  <si>
    <t>Porosity</t>
  </si>
  <si>
    <t>07FB</t>
  </si>
  <si>
    <t>04FB</t>
  </si>
  <si>
    <t>01FB</t>
  </si>
  <si>
    <t>11FB</t>
  </si>
  <si>
    <t>04CS</t>
  </si>
  <si>
    <t>03FB</t>
  </si>
  <si>
    <t>10FB</t>
  </si>
  <si>
    <t>H002</t>
  </si>
  <si>
    <t>09FB</t>
  </si>
  <si>
    <t>Core catcher</t>
  </si>
  <si>
    <t>Liner sample dry weight (g)</t>
  </si>
  <si>
    <t>Laser subsample 1(g)</t>
  </si>
  <si>
    <t>Laser subsample 2 (g)</t>
  </si>
  <si>
    <t>Settling sample weight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</si>
</sst>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0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workbookViewId="0">
      <pane xSplit="7" ySplit="1" topLeftCell="AC2" activePane="bottomRight" state="frozen"/>
      <selection pane="topRight" activeCell="H1" sqref="H1"/>
      <selection pane="bottomLeft" activeCell="A2" sqref="A2"/>
      <selection pane="bottomRight" activeCell="AF27" sqref="AF27"/>
    </sheetView>
  </sheetViews>
  <sheetFormatPr defaultRowHeight="15" x14ac:dyDescent="0.25"/>
  <cols>
    <col min="4" max="4" width="19.5703125" customWidth="1"/>
    <col min="5" max="5" width="17.7109375" customWidth="1"/>
    <col min="6" max="6" width="14.140625" customWidth="1"/>
    <col min="7" max="7" width="19.5703125" customWidth="1"/>
    <col min="8" max="8" width="21.5703125" customWidth="1"/>
    <col min="9" max="9" width="21" customWidth="1"/>
    <col min="10" max="10" width="20.140625" customWidth="1"/>
    <col min="11" max="11" width="19.85546875" customWidth="1"/>
    <col min="12" max="12" width="23.140625" customWidth="1"/>
    <col min="13" max="13" width="24" customWidth="1"/>
    <col min="14" max="14" width="21.140625" customWidth="1"/>
    <col min="15" max="15" width="19.5703125" customWidth="1"/>
    <col min="16" max="16" width="18.28515625" customWidth="1"/>
    <col min="17" max="17" width="19.28515625" customWidth="1"/>
    <col min="18" max="18" width="11.7109375" customWidth="1"/>
    <col min="19" max="19" width="12.42578125" customWidth="1"/>
    <col min="20" max="20" width="12.42578125" style="3" customWidth="1"/>
    <col min="21" max="21" width="22.42578125" customWidth="1"/>
    <col min="22" max="22" width="20.42578125" customWidth="1"/>
    <col min="23" max="23" width="22.28515625" customWidth="1"/>
    <col min="24" max="24" width="20.85546875" customWidth="1"/>
    <col min="25" max="25" width="20.85546875" style="3" customWidth="1"/>
    <col min="26" max="26" width="16.42578125" customWidth="1"/>
    <col min="27" max="27" width="14.28515625" customWidth="1"/>
    <col min="28" max="28" width="16.5703125" customWidth="1"/>
    <col min="29" max="29" width="16.42578125" customWidth="1"/>
    <col min="30" max="31" width="16.42578125" style="3" customWidth="1"/>
    <col min="32" max="33" width="15.28515625" customWidth="1"/>
    <col min="34" max="34" width="12.7109375" customWidth="1"/>
    <col min="36" max="36" width="10.140625" customWidth="1"/>
    <col min="37" max="37" width="12.7109375" customWidth="1"/>
    <col min="38" max="38" width="16.5703125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23</v>
      </c>
      <c r="M1" t="s">
        <v>24</v>
      </c>
      <c r="N1" t="s">
        <v>25</v>
      </c>
      <c r="O1" t="s">
        <v>11</v>
      </c>
      <c r="P1" t="s">
        <v>14</v>
      </c>
      <c r="Q1" t="s">
        <v>15</v>
      </c>
      <c r="R1" t="s">
        <v>16</v>
      </c>
      <c r="S1" t="s">
        <v>17</v>
      </c>
      <c r="T1" s="3" t="s">
        <v>40</v>
      </c>
      <c r="U1" t="s">
        <v>23</v>
      </c>
      <c r="V1" t="s">
        <v>24</v>
      </c>
      <c r="W1" t="s">
        <v>25</v>
      </c>
      <c r="X1" t="s">
        <v>11</v>
      </c>
      <c r="Y1" s="3" t="s">
        <v>41</v>
      </c>
      <c r="Z1" t="s">
        <v>44</v>
      </c>
      <c r="AA1" t="s">
        <v>18</v>
      </c>
      <c r="AB1" t="s">
        <v>19</v>
      </c>
      <c r="AC1" t="s">
        <v>20</v>
      </c>
      <c r="AD1" s="3" t="s">
        <v>21</v>
      </c>
      <c r="AE1" s="3" t="s">
        <v>22</v>
      </c>
      <c r="AF1" t="s">
        <v>42</v>
      </c>
      <c r="AG1" t="s">
        <v>43</v>
      </c>
      <c r="AH1" t="s">
        <v>27</v>
      </c>
      <c r="AJ1" t="s">
        <v>26</v>
      </c>
      <c r="AK1" t="s">
        <v>28</v>
      </c>
      <c r="AL1" t="s">
        <v>29</v>
      </c>
      <c r="AM1" t="s">
        <v>30</v>
      </c>
    </row>
    <row r="2" spans="1:39" x14ac:dyDescent="0.25">
      <c r="A2" t="s">
        <v>12</v>
      </c>
      <c r="B2" t="s">
        <v>13</v>
      </c>
      <c r="C2">
        <v>2</v>
      </c>
      <c r="D2">
        <v>181</v>
      </c>
      <c r="E2">
        <v>191</v>
      </c>
      <c r="F2">
        <v>10</v>
      </c>
      <c r="G2">
        <v>429.46</v>
      </c>
      <c r="H2">
        <v>429.56</v>
      </c>
      <c r="I2">
        <v>429.51</v>
      </c>
      <c r="J2">
        <v>49.32</v>
      </c>
      <c r="K2">
        <v>352.28</v>
      </c>
      <c r="L2">
        <v>2.12</v>
      </c>
      <c r="M2">
        <v>9.76</v>
      </c>
      <c r="N2">
        <v>8.4700000000000006</v>
      </c>
      <c r="O2" s="1">
        <f t="shared" ref="O2:O17" si="0">(M2-N2)/M2</f>
        <v>0.13217213114754089</v>
      </c>
      <c r="P2" s="1">
        <f>(K2-J2)-(K2-J2)*O2</f>
        <v>262.917131147541</v>
      </c>
      <c r="Q2">
        <v>0</v>
      </c>
      <c r="R2">
        <v>0</v>
      </c>
      <c r="S2">
        <v>0</v>
      </c>
      <c r="Z2">
        <v>0</v>
      </c>
      <c r="AA2">
        <v>0</v>
      </c>
      <c r="AB2">
        <v>0</v>
      </c>
      <c r="AC2">
        <v>0</v>
      </c>
      <c r="AF2">
        <v>0</v>
      </c>
      <c r="AG2">
        <v>0</v>
      </c>
      <c r="AH2" s="1">
        <f>SUM(P2+Y2+Z2+AA2+AB2+AC2+AD2+AE2+AF2+AG2)</f>
        <v>262.917131147541</v>
      </c>
      <c r="AJ2">
        <f>0.17728*1000</f>
        <v>177.28</v>
      </c>
      <c r="AK2">
        <v>2.7</v>
      </c>
      <c r="AL2" s="2">
        <f t="shared" ref="AL2:AL10" si="1">AH2/AK2</f>
        <v>97.376715239829991</v>
      </c>
      <c r="AM2" s="1">
        <f t="shared" ref="AM2:AM10" si="2">(AJ2-AL2)/AJ2</f>
        <v>0.45071798713994815</v>
      </c>
    </row>
    <row r="3" spans="1:39" s="4" customFormat="1" x14ac:dyDescent="0.25">
      <c r="A3" s="4" t="s">
        <v>12</v>
      </c>
      <c r="B3" s="4" t="s">
        <v>31</v>
      </c>
      <c r="C3" s="4">
        <v>2</v>
      </c>
      <c r="D3" s="4">
        <v>18.600000000000001</v>
      </c>
      <c r="E3" s="4">
        <v>63.1</v>
      </c>
      <c r="F3" s="4">
        <v>44.5</v>
      </c>
      <c r="G3" s="4">
        <v>430.86839999999995</v>
      </c>
      <c r="H3" s="4">
        <v>431.31339999999994</v>
      </c>
      <c r="I3" s="4">
        <v>431.09089999999992</v>
      </c>
      <c r="J3" s="4">
        <v>952.11</v>
      </c>
      <c r="K3" s="4">
        <v>1539.1</v>
      </c>
      <c r="L3" s="4">
        <v>2.19</v>
      </c>
      <c r="M3" s="4">
        <v>8.18</v>
      </c>
      <c r="N3" s="4">
        <v>6.45</v>
      </c>
      <c r="O3" s="5">
        <f t="shared" si="0"/>
        <v>0.21149144254278723</v>
      </c>
      <c r="P3" s="5">
        <f t="shared" ref="P3:P17" si="3">(K3-J3)-(K3-J3)*O3</f>
        <v>462.84663814180925</v>
      </c>
      <c r="Q3" s="4">
        <v>626.38</v>
      </c>
      <c r="R3" s="4">
        <f t="shared" ref="R3:R8" si="4">F3*7.7645-1.1564</f>
        <v>344.36384999999996</v>
      </c>
      <c r="S3" s="4">
        <f>7.11*2</f>
        <v>14.22</v>
      </c>
      <c r="U3" s="4">
        <v>6.21</v>
      </c>
      <c r="V3" s="4">
        <v>10.01</v>
      </c>
      <c r="W3" s="4">
        <v>9.07</v>
      </c>
      <c r="X3" s="4">
        <f>(V3-W3)/(W3-U3)</f>
        <v>0.32867132867132848</v>
      </c>
      <c r="Y3" s="4">
        <f>(Q3-R3-S3)-(Q3-R3-S3)*X3</f>
        <v>179.77923356643362</v>
      </c>
      <c r="AF3" s="4">
        <f>14.87-13.03+1</f>
        <v>2.84</v>
      </c>
      <c r="AH3" s="5">
        <f t="shared" ref="AH3:AH17" si="5">SUM(P3+Y3+Z3+AA3+AB3+AC3+AD3+AE3+AF3+AG3)</f>
        <v>645.46587170824284</v>
      </c>
      <c r="AJ3" s="4">
        <f>0.625*1000</f>
        <v>625</v>
      </c>
      <c r="AK3" s="4">
        <v>2.7</v>
      </c>
      <c r="AL3" s="6">
        <f t="shared" si="1"/>
        <v>239.06143396601584</v>
      </c>
      <c r="AM3" s="5">
        <f t="shared" si="2"/>
        <v>0.61750170565437468</v>
      </c>
    </row>
    <row r="4" spans="1:39" x14ac:dyDescent="0.25">
      <c r="A4" t="s">
        <v>12</v>
      </c>
      <c r="B4" t="s">
        <v>32</v>
      </c>
      <c r="C4">
        <v>2</v>
      </c>
      <c r="D4">
        <v>12.7</v>
      </c>
      <c r="E4">
        <v>38.5</v>
      </c>
      <c r="F4">
        <v>25.8</v>
      </c>
      <c r="G4">
        <v>421.66540000000003</v>
      </c>
      <c r="H4">
        <v>421.92340000000002</v>
      </c>
      <c r="I4">
        <v>421.7944</v>
      </c>
      <c r="J4">
        <v>670.11</v>
      </c>
      <c r="K4">
        <v>862.99</v>
      </c>
      <c r="L4">
        <v>2.2799999999999998</v>
      </c>
      <c r="M4">
        <v>8.69</v>
      </c>
      <c r="N4">
        <v>7.5</v>
      </c>
      <c r="O4" s="1">
        <f t="shared" si="0"/>
        <v>0.13693901035673184</v>
      </c>
      <c r="P4" s="1">
        <f t="shared" si="3"/>
        <v>166.46720368239357</v>
      </c>
      <c r="Q4">
        <v>636.59</v>
      </c>
      <c r="R4" s="3">
        <f t="shared" si="4"/>
        <v>199.16770000000002</v>
      </c>
      <c r="S4" s="3">
        <f>7.11*2</f>
        <v>14.22</v>
      </c>
      <c r="U4">
        <v>6.11</v>
      </c>
      <c r="V4">
        <v>11.53</v>
      </c>
      <c r="W4">
        <v>10.27</v>
      </c>
      <c r="X4" s="7">
        <f>(V4-W4)/(W4-U4)</f>
        <v>0.30288461538461536</v>
      </c>
      <c r="Y4" s="3">
        <f>(Q4-R4-S4)-(Q4-R4-S4)*X4</f>
        <v>295.02083413461537</v>
      </c>
      <c r="Z4">
        <v>50.32</v>
      </c>
      <c r="AA4">
        <v>20.14</v>
      </c>
      <c r="AF4" s="3">
        <f>18-14.35+1</f>
        <v>4.6500000000000004</v>
      </c>
      <c r="AG4" s="3">
        <f>18.15-14.35+1</f>
        <v>4.7999999999999989</v>
      </c>
      <c r="AH4" s="1">
        <f t="shared" si="5"/>
        <v>541.39803781700891</v>
      </c>
      <c r="AJ4">
        <f>0.625*1000</f>
        <v>625</v>
      </c>
      <c r="AK4">
        <v>2.7</v>
      </c>
      <c r="AL4" s="2">
        <f t="shared" si="1"/>
        <v>200.51779178407736</v>
      </c>
      <c r="AM4" s="1">
        <f t="shared" si="2"/>
        <v>0.67917153314547618</v>
      </c>
    </row>
    <row r="5" spans="1:39" x14ac:dyDescent="0.25">
      <c r="A5" t="s">
        <v>12</v>
      </c>
      <c r="B5" t="s">
        <v>31</v>
      </c>
      <c r="C5">
        <v>4</v>
      </c>
      <c r="D5">
        <v>178.2</v>
      </c>
      <c r="E5">
        <v>194.8</v>
      </c>
      <c r="F5">
        <v>16.600000000000023</v>
      </c>
      <c r="G5">
        <v>432.46439999999996</v>
      </c>
      <c r="H5">
        <v>432.63039999999995</v>
      </c>
      <c r="I5">
        <v>432.54739999999993</v>
      </c>
      <c r="J5">
        <v>464.15</v>
      </c>
      <c r="K5">
        <v>627.47</v>
      </c>
      <c r="L5">
        <v>2.23</v>
      </c>
      <c r="M5">
        <v>8.9</v>
      </c>
      <c r="N5">
        <v>8.85</v>
      </c>
      <c r="O5" s="1">
        <f t="shared" si="0"/>
        <v>5.6179775280899673E-3</v>
      </c>
      <c r="P5" s="1">
        <f t="shared" si="3"/>
        <v>162.40247191011238</v>
      </c>
      <c r="Q5">
        <v>384.33</v>
      </c>
      <c r="R5">
        <f t="shared" si="4"/>
        <v>127.73430000000018</v>
      </c>
      <c r="S5">
        <f>7.11*2</f>
        <v>14.22</v>
      </c>
      <c r="U5">
        <v>6.08</v>
      </c>
      <c r="V5">
        <v>10.95</v>
      </c>
      <c r="W5">
        <v>9.57</v>
      </c>
      <c r="X5" s="7">
        <f>(V5-W5)/(W5-U5)</f>
        <v>0.39541547277936934</v>
      </c>
      <c r="Y5" s="3">
        <f>(Q5-R5-S5)-(Q5-R5-S5)*X5</f>
        <v>146.5365979942693</v>
      </c>
      <c r="Z5">
        <v>39.380000000000003</v>
      </c>
      <c r="AF5" s="3">
        <f>14.62-13.03+1</f>
        <v>2.59</v>
      </c>
      <c r="AH5" s="1">
        <f t="shared" si="5"/>
        <v>350.90906990438162</v>
      </c>
      <c r="AJ5">
        <f>0.317*1000</f>
        <v>317</v>
      </c>
      <c r="AK5">
        <v>2.7</v>
      </c>
      <c r="AL5" s="2">
        <f t="shared" si="1"/>
        <v>129.96632218680801</v>
      </c>
      <c r="AM5" s="1">
        <f t="shared" si="2"/>
        <v>0.59001160193435953</v>
      </c>
    </row>
    <row r="6" spans="1:39" x14ac:dyDescent="0.25">
      <c r="A6" t="s">
        <v>12</v>
      </c>
      <c r="B6" t="s">
        <v>31</v>
      </c>
      <c r="C6">
        <v>1</v>
      </c>
      <c r="D6">
        <v>0</v>
      </c>
      <c r="E6">
        <v>18.600000000000001</v>
      </c>
      <c r="F6">
        <v>18.600000000000001</v>
      </c>
      <c r="G6">
        <v>430.68239999999997</v>
      </c>
      <c r="H6">
        <v>430.86839999999995</v>
      </c>
      <c r="I6">
        <v>430.77539999999999</v>
      </c>
      <c r="J6">
        <v>599.92999999999995</v>
      </c>
      <c r="K6">
        <v>730.31</v>
      </c>
      <c r="L6">
        <v>2.23</v>
      </c>
      <c r="M6">
        <v>7.23</v>
      </c>
      <c r="N6">
        <v>6.05</v>
      </c>
      <c r="O6" s="1">
        <f t="shared" si="0"/>
        <v>0.16320885200553259</v>
      </c>
      <c r="P6" s="1">
        <f t="shared" si="3"/>
        <v>109.10082987551866</v>
      </c>
      <c r="Q6">
        <v>522.37</v>
      </c>
      <c r="R6" s="3">
        <f t="shared" si="4"/>
        <v>143.26330000000002</v>
      </c>
      <c r="S6" s="3">
        <f>7.11*2</f>
        <v>14.22</v>
      </c>
      <c r="U6">
        <v>6.18</v>
      </c>
      <c r="V6">
        <v>8.7200000000000006</v>
      </c>
      <c r="W6">
        <v>8.2100000000000009</v>
      </c>
      <c r="X6" s="7">
        <f>(V6-W6)/(W6-U6)</f>
        <v>0.25123152709359581</v>
      </c>
      <c r="Y6" s="3">
        <f>(Q6-R6-S6)-(Q6-R6-S6)*X6</f>
        <v>273.2156571428572</v>
      </c>
      <c r="Z6">
        <v>64.39</v>
      </c>
      <c r="AF6" s="3">
        <f>14.17-13.03+1</f>
        <v>2.1400000000000006</v>
      </c>
      <c r="AG6" s="3">
        <f>14.17-14.35+1</f>
        <v>0.82000000000000028</v>
      </c>
      <c r="AH6" s="1">
        <f t="shared" si="5"/>
        <v>449.66648701837579</v>
      </c>
      <c r="AJ6">
        <v>306</v>
      </c>
      <c r="AK6">
        <v>2.7</v>
      </c>
      <c r="AL6" s="2">
        <f t="shared" si="1"/>
        <v>166.54314334013918</v>
      </c>
      <c r="AM6" s="1">
        <f t="shared" si="2"/>
        <v>0.45574136163353207</v>
      </c>
    </row>
    <row r="7" spans="1:39" s="4" customFormat="1" x14ac:dyDescent="0.25">
      <c r="A7" s="4" t="s">
        <v>12</v>
      </c>
      <c r="B7" s="4" t="s">
        <v>33</v>
      </c>
      <c r="C7" s="4">
        <v>3</v>
      </c>
      <c r="D7" s="4">
        <v>163</v>
      </c>
      <c r="E7" s="4">
        <v>184</v>
      </c>
      <c r="F7" s="4">
        <v>21</v>
      </c>
      <c r="G7" s="4">
        <v>284.17959999999999</v>
      </c>
      <c r="H7" s="4">
        <v>284.38959999999997</v>
      </c>
      <c r="I7" s="4">
        <v>284.28459999999995</v>
      </c>
      <c r="J7" s="4">
        <v>671.06</v>
      </c>
      <c r="K7" s="4">
        <v>903.03</v>
      </c>
      <c r="L7" s="4">
        <v>2.23</v>
      </c>
      <c r="M7" s="4">
        <v>7.23</v>
      </c>
      <c r="N7" s="4">
        <v>6.05</v>
      </c>
      <c r="O7" s="5">
        <f t="shared" si="0"/>
        <v>0.16320885200553259</v>
      </c>
      <c r="P7" s="5">
        <f t="shared" si="3"/>
        <v>194.11044260027663</v>
      </c>
      <c r="Q7" s="4">
        <v>269.68</v>
      </c>
      <c r="R7" s="4">
        <f t="shared" si="4"/>
        <v>161.8981</v>
      </c>
      <c r="S7" s="4">
        <f>7.11*2</f>
        <v>14.22</v>
      </c>
      <c r="U7" s="4">
        <v>6.11</v>
      </c>
      <c r="V7" s="4">
        <v>11.49</v>
      </c>
      <c r="W7" s="4">
        <v>10.15</v>
      </c>
      <c r="X7" s="4">
        <f>(V7-W7)/(W7-U7)</f>
        <v>0.33168316831683164</v>
      </c>
      <c r="Y7" s="4">
        <f>(Q7-R7-S7)-(Q7-R7-S7)*X7</f>
        <v>62.52899257425743</v>
      </c>
      <c r="Z7" s="4">
        <v>47.51</v>
      </c>
      <c r="AA7" s="4">
        <v>3.33</v>
      </c>
      <c r="AH7" s="5">
        <f t="shared" si="5"/>
        <v>307.47943517453405</v>
      </c>
      <c r="AJ7" s="4">
        <v>419.7</v>
      </c>
      <c r="AK7" s="4">
        <v>2.7</v>
      </c>
      <c r="AL7" s="6">
        <f t="shared" si="1"/>
        <v>113.88127228686446</v>
      </c>
      <c r="AM7" s="5">
        <f t="shared" si="2"/>
        <v>0.72866029953094014</v>
      </c>
    </row>
    <row r="8" spans="1:39" x14ac:dyDescent="0.25">
      <c r="A8" t="s">
        <v>12</v>
      </c>
      <c r="B8" t="s">
        <v>34</v>
      </c>
      <c r="C8">
        <v>1</v>
      </c>
      <c r="D8">
        <v>0</v>
      </c>
      <c r="E8">
        <v>27</v>
      </c>
      <c r="F8">
        <v>27</v>
      </c>
      <c r="G8">
        <v>441.35039999999998</v>
      </c>
      <c r="H8">
        <v>441.62039999999996</v>
      </c>
      <c r="I8">
        <v>441.48539999999997</v>
      </c>
      <c r="J8">
        <v>464.21</v>
      </c>
      <c r="K8">
        <v>566.17999999999995</v>
      </c>
      <c r="L8">
        <v>2.33</v>
      </c>
      <c r="M8">
        <v>6.59</v>
      </c>
      <c r="N8">
        <v>3.97</v>
      </c>
      <c r="O8" s="1">
        <f t="shared" si="0"/>
        <v>0.39757207890743546</v>
      </c>
      <c r="P8" s="1">
        <f t="shared" si="3"/>
        <v>61.429575113808788</v>
      </c>
      <c r="Q8">
        <f>1061.65+158.6</f>
        <v>1220.25</v>
      </c>
      <c r="R8" s="3">
        <f t="shared" si="4"/>
        <v>208.48510000000002</v>
      </c>
      <c r="S8" s="3">
        <f>7.11*2*2</f>
        <v>28.44</v>
      </c>
      <c r="T8" s="3">
        <v>129.49</v>
      </c>
      <c r="U8">
        <v>6.16</v>
      </c>
      <c r="V8">
        <v>10.73</v>
      </c>
      <c r="W8">
        <v>9.35</v>
      </c>
      <c r="X8" s="3">
        <f>(V8-W8)/(W8-U8)</f>
        <v>0.43260188087774326</v>
      </c>
      <c r="Y8" s="3">
        <f>(Q8-R8-S8)-(Q8-R8-S8)*X8</f>
        <v>557.93669874608122</v>
      </c>
      <c r="AH8" s="1">
        <f t="shared" si="5"/>
        <v>619.36627385989004</v>
      </c>
      <c r="AJ8">
        <v>308.7</v>
      </c>
      <c r="AK8">
        <v>2.7</v>
      </c>
      <c r="AL8" s="2">
        <f t="shared" si="1"/>
        <v>229.3949162444037</v>
      </c>
      <c r="AM8" s="1">
        <f t="shared" si="2"/>
        <v>0.25690017413539451</v>
      </c>
    </row>
    <row r="9" spans="1:39" x14ac:dyDescent="0.25">
      <c r="A9" t="s">
        <v>38</v>
      </c>
      <c r="B9" t="s">
        <v>35</v>
      </c>
      <c r="C9">
        <v>1</v>
      </c>
      <c r="D9">
        <v>0</v>
      </c>
      <c r="E9">
        <v>26.8</v>
      </c>
      <c r="F9">
        <v>26.8</v>
      </c>
      <c r="G9">
        <v>418.49040000000002</v>
      </c>
      <c r="H9">
        <v>418.75839999999999</v>
      </c>
      <c r="I9">
        <v>418.62440000000004</v>
      </c>
      <c r="J9">
        <v>952.26</v>
      </c>
      <c r="K9">
        <v>1873.15</v>
      </c>
      <c r="L9">
        <v>2.27</v>
      </c>
      <c r="M9">
        <v>8.93</v>
      </c>
      <c r="N9">
        <v>7.43</v>
      </c>
      <c r="O9" s="1">
        <f t="shared" si="0"/>
        <v>0.16797312430011199</v>
      </c>
      <c r="P9" s="1">
        <f t="shared" si="3"/>
        <v>766.20522956327</v>
      </c>
      <c r="AF9" s="3">
        <f>17.8-14.35+1</f>
        <v>4.4500000000000011</v>
      </c>
      <c r="AG9" s="3">
        <f>19.34-14.35+1</f>
        <v>5.99</v>
      </c>
      <c r="AH9" s="1">
        <f t="shared" si="5"/>
        <v>776.64522956327005</v>
      </c>
      <c r="AJ9">
        <v>391.1</v>
      </c>
      <c r="AK9">
        <v>2.7</v>
      </c>
      <c r="AL9" s="2">
        <f t="shared" si="1"/>
        <v>287.64638131972964</v>
      </c>
      <c r="AM9" s="1">
        <f t="shared" si="2"/>
        <v>0.26451960797819069</v>
      </c>
    </row>
    <row r="10" spans="1:39" x14ac:dyDescent="0.25">
      <c r="A10" t="s">
        <v>12</v>
      </c>
      <c r="B10" t="s">
        <v>36</v>
      </c>
      <c r="C10">
        <v>3</v>
      </c>
      <c r="D10">
        <v>132.69999999999999</v>
      </c>
      <c r="E10">
        <v>159.19999999999999</v>
      </c>
      <c r="F10">
        <v>26.5</v>
      </c>
      <c r="G10">
        <v>419.81740000000002</v>
      </c>
      <c r="H10">
        <v>420.08240000000001</v>
      </c>
      <c r="I10">
        <v>419.94990000000001</v>
      </c>
      <c r="J10">
        <v>599.99</v>
      </c>
      <c r="K10">
        <v>1304.17</v>
      </c>
      <c r="L10">
        <v>2.2000000000000002</v>
      </c>
      <c r="M10">
        <v>7.77</v>
      </c>
      <c r="N10">
        <v>6.3</v>
      </c>
      <c r="O10" s="1">
        <f t="shared" si="0"/>
        <v>0.18918918918918917</v>
      </c>
      <c r="P10" s="1">
        <f t="shared" si="3"/>
        <v>570.95675675675682</v>
      </c>
      <c r="Q10">
        <v>359.28</v>
      </c>
      <c r="R10" s="3">
        <f>F10*7.7645-1.1564</f>
        <v>204.60285000000002</v>
      </c>
      <c r="S10" s="3">
        <f>7.11*2</f>
        <v>14.22</v>
      </c>
      <c r="U10">
        <v>6.07</v>
      </c>
      <c r="V10">
        <v>10.37</v>
      </c>
      <c r="W10">
        <v>9.39</v>
      </c>
      <c r="X10">
        <f>(V10-W10)/(W10-U10)</f>
        <v>0.29518072289156583</v>
      </c>
      <c r="Y10" s="3">
        <f>(Q10-R10-S10)-(Q10-R10-S10)*X10</f>
        <v>98.996906927710882</v>
      </c>
      <c r="Z10" s="3">
        <v>54.89</v>
      </c>
      <c r="AA10">
        <v>3.62</v>
      </c>
      <c r="AF10">
        <f>17.65-13.03+1</f>
        <v>5.6199999999999992</v>
      </c>
      <c r="AH10" s="1">
        <f t="shared" si="5"/>
        <v>734.08366368446775</v>
      </c>
      <c r="AJ10">
        <v>458</v>
      </c>
      <c r="AK10" s="3">
        <v>2.7</v>
      </c>
      <c r="AL10" s="2">
        <f t="shared" si="1"/>
        <v>271.88283840165468</v>
      </c>
      <c r="AM10" s="1">
        <f t="shared" si="2"/>
        <v>0.40636934846800288</v>
      </c>
    </row>
    <row r="11" spans="1:39" x14ac:dyDescent="0.25">
      <c r="A11" t="s">
        <v>12</v>
      </c>
      <c r="B11" t="s">
        <v>36</v>
      </c>
      <c r="C11">
        <v>2</v>
      </c>
      <c r="D11">
        <v>115.2</v>
      </c>
      <c r="E11">
        <v>132.69999999999999</v>
      </c>
      <c r="F11">
        <v>17.5</v>
      </c>
      <c r="G11">
        <v>419.82</v>
      </c>
      <c r="H11">
        <v>420.08</v>
      </c>
      <c r="I11">
        <v>419.95</v>
      </c>
      <c r="J11">
        <v>672.36</v>
      </c>
      <c r="K11">
        <v>868.48</v>
      </c>
      <c r="L11">
        <v>2.2200000000000002</v>
      </c>
      <c r="M11">
        <v>6.63</v>
      </c>
      <c r="N11">
        <v>4.88</v>
      </c>
      <c r="O11" s="1">
        <f t="shared" si="0"/>
        <v>0.26395173453996984</v>
      </c>
      <c r="P11" s="1">
        <f t="shared" si="3"/>
        <v>144.35378582202111</v>
      </c>
      <c r="Q11">
        <v>485</v>
      </c>
      <c r="R11" s="3">
        <f>F11*7.7645-1.1564</f>
        <v>134.72235000000001</v>
      </c>
      <c r="S11" s="3">
        <f>7.11*2</f>
        <v>14.22</v>
      </c>
      <c r="U11">
        <v>6.07</v>
      </c>
      <c r="V11">
        <v>9.4499999999999993</v>
      </c>
      <c r="W11">
        <v>8.67</v>
      </c>
      <c r="X11">
        <f>(V11-W11)/(W11-U11)</f>
        <v>0.29999999999999982</v>
      </c>
      <c r="Y11" s="3">
        <f>(Q11-R11-S11)-(Q11-R11-S11)*X11</f>
        <v>235.24035500000002</v>
      </c>
      <c r="Z11" s="3">
        <v>38.96</v>
      </c>
      <c r="AH11" s="1">
        <f t="shared" si="5"/>
        <v>418.55414082202111</v>
      </c>
      <c r="AM11" s="1"/>
    </row>
    <row r="12" spans="1:39" s="4" customFormat="1" x14ac:dyDescent="0.25">
      <c r="A12" s="4" t="s">
        <v>12</v>
      </c>
      <c r="B12" s="4" t="s">
        <v>33</v>
      </c>
      <c r="C12" s="4">
        <v>2</v>
      </c>
      <c r="D12" s="4">
        <v>69</v>
      </c>
      <c r="E12" s="4">
        <v>163</v>
      </c>
      <c r="F12" s="4">
        <v>94</v>
      </c>
      <c r="G12" s="4">
        <v>283.2396</v>
      </c>
      <c r="H12" s="4">
        <v>284.17959999999999</v>
      </c>
      <c r="I12" s="4">
        <v>283.70960000000002</v>
      </c>
      <c r="J12" s="4">
        <v>464.13</v>
      </c>
      <c r="K12" s="4">
        <v>618.65</v>
      </c>
      <c r="L12" s="4">
        <v>2.2599999999999998</v>
      </c>
      <c r="M12" s="4">
        <v>4.92</v>
      </c>
      <c r="N12" s="4">
        <v>4.92</v>
      </c>
      <c r="O12" s="5">
        <f t="shared" si="0"/>
        <v>0</v>
      </c>
      <c r="P12" s="5">
        <f t="shared" si="3"/>
        <v>154.51999999999998</v>
      </c>
      <c r="Z12" s="4">
        <f>38.68+39.02</f>
        <v>77.7</v>
      </c>
      <c r="AH12" s="5">
        <f t="shared" si="5"/>
        <v>232.21999999999997</v>
      </c>
      <c r="AM12" s="5"/>
    </row>
    <row r="13" spans="1:39" x14ac:dyDescent="0.25">
      <c r="A13" t="s">
        <v>12</v>
      </c>
      <c r="B13" t="s">
        <v>37</v>
      </c>
      <c r="C13">
        <v>3</v>
      </c>
      <c r="D13">
        <v>32</v>
      </c>
      <c r="E13">
        <v>42</v>
      </c>
      <c r="F13">
        <v>10</v>
      </c>
      <c r="G13">
        <v>440.14639999999997</v>
      </c>
      <c r="H13">
        <v>440.58639999999997</v>
      </c>
      <c r="I13">
        <v>440.3664</v>
      </c>
      <c r="J13">
        <v>599.91999999999996</v>
      </c>
      <c r="K13">
        <v>856.04</v>
      </c>
      <c r="L13">
        <v>2.19</v>
      </c>
      <c r="M13">
        <v>6.51</v>
      </c>
      <c r="N13">
        <v>6.42</v>
      </c>
      <c r="O13" s="1">
        <f t="shared" si="0"/>
        <v>1.3824884792626706E-2</v>
      </c>
      <c r="P13" s="1">
        <f t="shared" si="3"/>
        <v>252.57917050691245</v>
      </c>
      <c r="AF13" s="3">
        <f>15.96-14.35+1</f>
        <v>2.6100000000000012</v>
      </c>
      <c r="AH13" s="1">
        <f t="shared" si="5"/>
        <v>255.18917050691246</v>
      </c>
      <c r="AJ13">
        <v>333</v>
      </c>
      <c r="AK13">
        <v>2.7</v>
      </c>
      <c r="AL13" s="2">
        <f>AH13/AK13</f>
        <v>94.51450759515275</v>
      </c>
      <c r="AM13" s="1">
        <f>(AJ13-AL13)/AJ13</f>
        <v>0.71617264986440621</v>
      </c>
    </row>
    <row r="14" spans="1:39" x14ac:dyDescent="0.25">
      <c r="A14" t="s">
        <v>12</v>
      </c>
      <c r="B14" t="s">
        <v>37</v>
      </c>
      <c r="C14">
        <v>2</v>
      </c>
      <c r="D14">
        <v>0</v>
      </c>
      <c r="E14">
        <v>32</v>
      </c>
      <c r="F14">
        <v>32</v>
      </c>
      <c r="G14">
        <v>439.82639999999998</v>
      </c>
      <c r="H14">
        <v>440.14639999999997</v>
      </c>
      <c r="I14">
        <v>439.9864</v>
      </c>
      <c r="J14">
        <v>952.24</v>
      </c>
      <c r="K14">
        <v>1319.93</v>
      </c>
      <c r="L14">
        <v>2.25</v>
      </c>
      <c r="M14">
        <v>5.71</v>
      </c>
      <c r="N14">
        <v>5.7</v>
      </c>
      <c r="O14" s="1">
        <f t="shared" si="0"/>
        <v>1.7513134851137981E-3</v>
      </c>
      <c r="P14" s="1">
        <f t="shared" si="3"/>
        <v>367.04605954465859</v>
      </c>
      <c r="Q14">
        <v>1039.1199999999999</v>
      </c>
      <c r="R14" s="3">
        <f>F14*7.7645-1.1564</f>
        <v>247.30760000000001</v>
      </c>
      <c r="S14" s="3">
        <f>7.11*2</f>
        <v>14.22</v>
      </c>
      <c r="U14">
        <v>6.13</v>
      </c>
      <c r="V14">
        <v>12.46</v>
      </c>
      <c r="W14">
        <v>11.37</v>
      </c>
      <c r="X14" s="7">
        <f>(V14-W14)/(W14-U14)</f>
        <v>0.20801526717557287</v>
      </c>
      <c r="Y14" s="3">
        <f>(Q14-R14-S14)-(Q14-R14-S14)*X14</f>
        <v>615.84130916030495</v>
      </c>
      <c r="Z14">
        <v>52.65</v>
      </c>
      <c r="AA14">
        <v>6.79</v>
      </c>
      <c r="AB14">
        <v>6.49</v>
      </c>
      <c r="AF14" s="3">
        <f>18.3-14.35+1</f>
        <v>4.9500000000000011</v>
      </c>
      <c r="AH14" s="1">
        <f t="shared" si="5"/>
        <v>1053.7673687049637</v>
      </c>
      <c r="AJ14">
        <v>683</v>
      </c>
      <c r="AK14">
        <v>2.7</v>
      </c>
      <c r="AL14" s="2">
        <f>AH14/AK14</f>
        <v>390.284210631468</v>
      </c>
      <c r="AM14" s="1">
        <f>(AJ14-AL14)/AJ14</f>
        <v>0.42857363011498095</v>
      </c>
    </row>
    <row r="15" spans="1:39" x14ac:dyDescent="0.25">
      <c r="A15" t="s">
        <v>38</v>
      </c>
      <c r="B15" t="s">
        <v>35</v>
      </c>
      <c r="C15">
        <v>3</v>
      </c>
      <c r="D15">
        <v>129.5</v>
      </c>
      <c r="E15">
        <v>139</v>
      </c>
      <c r="F15">
        <v>9.5</v>
      </c>
      <c r="G15">
        <v>419.78540000000004</v>
      </c>
      <c r="H15">
        <v>419.88040000000001</v>
      </c>
      <c r="I15">
        <v>419.8329</v>
      </c>
      <c r="J15">
        <v>464.22</v>
      </c>
      <c r="K15">
        <v>791.88</v>
      </c>
      <c r="L15">
        <v>2.2200000000000002</v>
      </c>
      <c r="M15">
        <v>5.03</v>
      </c>
      <c r="N15">
        <v>5.03</v>
      </c>
      <c r="O15" s="1">
        <f t="shared" si="0"/>
        <v>0</v>
      </c>
      <c r="P15" s="1">
        <f t="shared" si="3"/>
        <v>327.65999999999997</v>
      </c>
      <c r="AF15" s="3">
        <f>18.25-14.35+1</f>
        <v>4.9000000000000004</v>
      </c>
      <c r="AG15" s="3">
        <f>19.2-14.35+1</f>
        <v>5.85</v>
      </c>
      <c r="AH15" s="1">
        <f t="shared" si="5"/>
        <v>338.40999999999997</v>
      </c>
      <c r="AJ15">
        <v>205</v>
      </c>
      <c r="AK15" s="3">
        <v>2.7</v>
      </c>
      <c r="AL15" s="2">
        <f>AH15/AK15</f>
        <v>125.33703703703702</v>
      </c>
      <c r="AM15" s="1">
        <f>(AJ15-AL15)/AJ15</f>
        <v>0.38859981933152671</v>
      </c>
    </row>
    <row r="16" spans="1:39" s="4" customFormat="1" x14ac:dyDescent="0.25">
      <c r="A16" s="4" t="s">
        <v>38</v>
      </c>
      <c r="B16" s="4" t="s">
        <v>39</v>
      </c>
      <c r="C16" s="4">
        <v>2</v>
      </c>
      <c r="D16" s="4">
        <v>18</v>
      </c>
      <c r="E16" s="4">
        <v>138</v>
      </c>
      <c r="F16" s="4">
        <v>120</v>
      </c>
      <c r="G16" s="4">
        <v>436.95839999999998</v>
      </c>
      <c r="H16" s="4">
        <v>438.15839999999997</v>
      </c>
      <c r="I16" s="4">
        <v>437.55840000000001</v>
      </c>
      <c r="J16" s="4">
        <v>674.26</v>
      </c>
      <c r="K16" s="4">
        <v>978.3</v>
      </c>
      <c r="L16" s="4">
        <v>2.1800000000000002</v>
      </c>
      <c r="M16" s="4">
        <v>7.51</v>
      </c>
      <c r="N16" s="4">
        <v>7.42</v>
      </c>
      <c r="O16" s="5">
        <f t="shared" si="0"/>
        <v>1.1984021304926746E-2</v>
      </c>
      <c r="P16" s="5">
        <f t="shared" si="3"/>
        <v>300.39637816245005</v>
      </c>
      <c r="Q16" s="4">
        <v>161.83000000000001</v>
      </c>
      <c r="R16" s="4">
        <f>5*7.7645-1.1564</f>
        <v>37.6661</v>
      </c>
      <c r="S16" s="4">
        <f>7.11*2</f>
        <v>14.22</v>
      </c>
      <c r="U16" s="4">
        <v>6.19</v>
      </c>
      <c r="V16" s="4">
        <v>9.11</v>
      </c>
      <c r="W16" s="4">
        <v>8.65</v>
      </c>
      <c r="X16" s="4">
        <f>(V16-W16)/(W16-U16)</f>
        <v>0.18699186991869882</v>
      </c>
      <c r="Y16" s="4">
        <f>(Q16-R16-S16)-(Q16-R16-S16)*X16</f>
        <v>89.385284552845576</v>
      </c>
      <c r="Z16" s="4">
        <v>52.44</v>
      </c>
      <c r="AA16" s="4">
        <v>5.9189999999999996</v>
      </c>
      <c r="AF16" s="4">
        <f>20.66-14.35+1</f>
        <v>7.3100000000000005</v>
      </c>
      <c r="AG16" s="4">
        <f>19.75-14.35+1</f>
        <v>6.4</v>
      </c>
      <c r="AH16" s="5">
        <f t="shared" si="5"/>
        <v>461.85066271529558</v>
      </c>
      <c r="AJ16" s="4">
        <v>2430</v>
      </c>
      <c r="AK16" s="4">
        <v>2.7</v>
      </c>
      <c r="AL16" s="6">
        <f>AH16/AK16</f>
        <v>171.05580100566502</v>
      </c>
      <c r="AM16" s="5">
        <f>(AJ16-AL16)/AJ16</f>
        <v>0.92960666625281263</v>
      </c>
    </row>
    <row r="17" spans="1:39" s="4" customFormat="1" x14ac:dyDescent="0.25">
      <c r="A17" s="4" t="s">
        <v>38</v>
      </c>
      <c r="B17" s="4" t="s">
        <v>39</v>
      </c>
      <c r="C17" s="4">
        <v>4</v>
      </c>
      <c r="D17" s="4">
        <v>258</v>
      </c>
      <c r="E17" s="4">
        <v>321</v>
      </c>
      <c r="F17" s="4">
        <v>63</v>
      </c>
      <c r="G17" s="4">
        <v>439.35839999999996</v>
      </c>
      <c r="H17" s="4">
        <v>439.98839999999996</v>
      </c>
      <c r="I17" s="4">
        <v>439.67339999999996</v>
      </c>
      <c r="J17" s="4">
        <v>952.46</v>
      </c>
      <c r="K17" s="4">
        <v>1725.21</v>
      </c>
      <c r="L17" s="4">
        <v>2.15</v>
      </c>
      <c r="M17" s="4">
        <v>8.15</v>
      </c>
      <c r="N17" s="4">
        <v>5.49</v>
      </c>
      <c r="O17" s="5">
        <f t="shared" si="0"/>
        <v>0.32638036809815951</v>
      </c>
      <c r="P17" s="5">
        <f t="shared" si="3"/>
        <v>520.53957055214721</v>
      </c>
      <c r="Q17" s="4">
        <v>329.99</v>
      </c>
      <c r="R17" s="4">
        <f>11*7.7645-1.1564</f>
        <v>84.253099999999989</v>
      </c>
      <c r="S17" s="4">
        <f>7.11*2</f>
        <v>14.22</v>
      </c>
      <c r="U17" s="4">
        <v>6.17</v>
      </c>
      <c r="V17" s="4">
        <v>10.46</v>
      </c>
      <c r="W17" s="4">
        <v>9.48</v>
      </c>
      <c r="X17" s="4">
        <f>(V17-W17)/(W17-U17)</f>
        <v>0.29607250755287018</v>
      </c>
      <c r="Y17" s="4">
        <f>(Q17-R17-S17)-(Q17-R17-S17)*X17</f>
        <v>162.97111087613291</v>
      </c>
      <c r="Z17" s="4">
        <v>48.18</v>
      </c>
      <c r="AA17" s="4">
        <v>25.89</v>
      </c>
      <c r="AB17" s="4">
        <v>6.91</v>
      </c>
      <c r="AC17" s="4">
        <v>5.69</v>
      </c>
      <c r="AF17" s="4">
        <f>20.98-14.35+1</f>
        <v>7.6300000000000008</v>
      </c>
      <c r="AG17" s="4">
        <f>18.37-14.35+1</f>
        <v>5.0200000000000014</v>
      </c>
      <c r="AH17" s="5">
        <f t="shared" si="5"/>
        <v>782.83068142828006</v>
      </c>
      <c r="AJ17" s="4">
        <v>1280</v>
      </c>
      <c r="AK17" s="4">
        <v>2.7</v>
      </c>
      <c r="AL17" s="6">
        <f>AH17/AK17</f>
        <v>289.93728941788146</v>
      </c>
      <c r="AM17" s="5">
        <f>(AJ17-AL17)/AJ17</f>
        <v>0.7734864926422802</v>
      </c>
    </row>
    <row r="18" spans="1:39" x14ac:dyDescent="0.25">
      <c r="AM18" s="1"/>
    </row>
    <row r="19" spans="1:39" s="4" customFormat="1" x14ac:dyDescent="0.25">
      <c r="A19" s="4" t="s">
        <v>12</v>
      </c>
      <c r="B19" s="4" t="s">
        <v>32</v>
      </c>
      <c r="C19" s="4">
        <v>5</v>
      </c>
      <c r="D19" s="4">
        <v>65</v>
      </c>
      <c r="E19" s="4">
        <v>82.5</v>
      </c>
      <c r="F19" s="4">
        <v>17.5</v>
      </c>
      <c r="G19" s="4">
        <v>422.19</v>
      </c>
      <c r="H19" s="4">
        <v>422.36</v>
      </c>
      <c r="I19" s="4">
        <v>422.28</v>
      </c>
      <c r="J19" s="4">
        <v>125.7</v>
      </c>
      <c r="Q19" s="4">
        <v>636.59</v>
      </c>
      <c r="R19" s="4">
        <f>11*7.7645-1.1564</f>
        <v>84.253099999999989</v>
      </c>
      <c r="S19" s="4">
        <f>7.11*2</f>
        <v>14.22</v>
      </c>
      <c r="Z19" s="4">
        <v>42.03</v>
      </c>
      <c r="AA19" s="4">
        <v>5.33</v>
      </c>
      <c r="AB19" s="4">
        <v>7.22</v>
      </c>
      <c r="AF19" s="4">
        <f>17.35-14.35+1</f>
        <v>4.0000000000000018</v>
      </c>
      <c r="AH19" s="5">
        <f t="shared" ref="AH19:AH20" si="6">SUM(P19+Y19+Z19+AA19+AB19+AC19+AD19+AE19+AF19+AG19)</f>
        <v>58.58</v>
      </c>
      <c r="AM19" s="5"/>
    </row>
    <row r="20" spans="1:39" x14ac:dyDescent="0.25">
      <c r="A20" t="s">
        <v>12</v>
      </c>
      <c r="B20" t="s">
        <v>32</v>
      </c>
      <c r="C20">
        <v>7</v>
      </c>
      <c r="D20">
        <v>190.9</v>
      </c>
      <c r="E20">
        <v>202.9</v>
      </c>
      <c r="F20">
        <v>12</v>
      </c>
      <c r="G20">
        <v>423.45</v>
      </c>
      <c r="H20">
        <v>423.57</v>
      </c>
      <c r="I20">
        <v>423.51</v>
      </c>
      <c r="J20">
        <v>372.01</v>
      </c>
      <c r="Z20">
        <v>62.04</v>
      </c>
      <c r="AA20">
        <v>5.48</v>
      </c>
      <c r="AB20">
        <v>5.73</v>
      </c>
      <c r="AF20" s="3">
        <f>16.91-14.35+1</f>
        <v>3.5600000000000005</v>
      </c>
      <c r="AH20" s="1">
        <f t="shared" si="6"/>
        <v>76.81</v>
      </c>
      <c r="AM20" s="1"/>
    </row>
    <row r="21" spans="1:39" x14ac:dyDescent="0.25">
      <c r="A21" t="s">
        <v>12</v>
      </c>
      <c r="B21" t="s">
        <v>32</v>
      </c>
      <c r="C21">
        <v>4</v>
      </c>
      <c r="D21">
        <v>53.3</v>
      </c>
      <c r="E21">
        <v>65</v>
      </c>
      <c r="F21">
        <v>11.7</v>
      </c>
      <c r="G21">
        <v>422.07</v>
      </c>
      <c r="H21">
        <v>422.19</v>
      </c>
      <c r="I21">
        <v>422.13</v>
      </c>
      <c r="Q21">
        <v>136.44999999999999</v>
      </c>
      <c r="R21" s="3">
        <f>F21*7.7645-1.1564</f>
        <v>89.688249999999982</v>
      </c>
      <c r="S21" s="3">
        <f>7.11*2</f>
        <v>14.22</v>
      </c>
      <c r="U21">
        <v>6.13</v>
      </c>
      <c r="V21">
        <v>8.59</v>
      </c>
      <c r="W21">
        <v>8.1</v>
      </c>
      <c r="X21" s="3">
        <f>(V21-W21)/(W21-U21)</f>
        <v>0.24873096446700521</v>
      </c>
      <c r="Y21" s="3">
        <f>(Q21-R21-S21)-(Q21-R21-S21)*X21</f>
        <v>24.447609137055839</v>
      </c>
      <c r="AA21">
        <v>7.6</v>
      </c>
      <c r="AB21">
        <v>7.02</v>
      </c>
      <c r="AC21">
        <v>5.73</v>
      </c>
      <c r="AD21" s="3">
        <v>14.41</v>
      </c>
      <c r="AE21" s="3">
        <v>5.96</v>
      </c>
      <c r="AF21" s="3">
        <f>14.66-13.03+1</f>
        <v>2.6300000000000008</v>
      </c>
      <c r="AM21" s="1"/>
    </row>
    <row r="22" spans="1:39" x14ac:dyDescent="0.25">
      <c r="A22" s="3" t="s">
        <v>12</v>
      </c>
      <c r="B22" s="3" t="s">
        <v>32</v>
      </c>
      <c r="C22">
        <v>3</v>
      </c>
      <c r="D22">
        <v>38.5</v>
      </c>
      <c r="E22">
        <v>53.3</v>
      </c>
      <c r="F22">
        <v>14.8</v>
      </c>
      <c r="G22">
        <v>421.92</v>
      </c>
      <c r="H22">
        <v>422.07</v>
      </c>
      <c r="I22">
        <v>422</v>
      </c>
      <c r="Q22">
        <v>463.97</v>
      </c>
      <c r="R22" s="3">
        <f>F22*7.7645-1.1564</f>
        <v>113.7582</v>
      </c>
      <c r="S22" s="3">
        <f>7.11*2</f>
        <v>14.22</v>
      </c>
      <c r="U22">
        <v>6.21</v>
      </c>
      <c r="V22">
        <v>10.54</v>
      </c>
      <c r="W22">
        <v>9.14</v>
      </c>
      <c r="X22" s="3">
        <f>(V22-W22)/(W22-U22)</f>
        <v>0.47781569965870246</v>
      </c>
      <c r="Y22" s="3">
        <f>(Q22-R22-S22)-(Q22-R22-S22)*X22</f>
        <v>175.44964300341317</v>
      </c>
      <c r="AA22">
        <v>11.09</v>
      </c>
      <c r="AB22">
        <v>5.43</v>
      </c>
      <c r="AC22">
        <v>3</v>
      </c>
      <c r="AF22" s="3">
        <f>14.66-14.35+1</f>
        <v>1.3100000000000005</v>
      </c>
      <c r="AM22" s="1"/>
    </row>
    <row r="23" spans="1:39" x14ac:dyDescent="0.25">
      <c r="AM23" s="1"/>
    </row>
    <row r="24" spans="1:39" x14ac:dyDescent="0.25">
      <c r="AM24" s="1"/>
    </row>
    <row r="25" spans="1:39" x14ac:dyDescent="0.25">
      <c r="AM25" s="1"/>
    </row>
    <row r="26" spans="1:39" x14ac:dyDescent="0.25">
      <c r="AM26" s="1"/>
    </row>
    <row r="27" spans="1:39" x14ac:dyDescent="0.25">
      <c r="AM27" s="1"/>
    </row>
    <row r="28" spans="1:39" x14ac:dyDescent="0.25">
      <c r="AM28" s="1"/>
    </row>
    <row r="29" spans="1:39" x14ac:dyDescent="0.25">
      <c r="AM29" s="1"/>
    </row>
    <row r="30" spans="1:39" x14ac:dyDescent="0.25">
      <c r="AM30" s="1"/>
    </row>
    <row r="31" spans="1:39" x14ac:dyDescent="0.25">
      <c r="AM31" s="1"/>
    </row>
    <row r="32" spans="1:39" x14ac:dyDescent="0.25">
      <c r="AM32" s="1"/>
    </row>
    <row r="33" spans="39:39" x14ac:dyDescent="0.25">
      <c r="AM33" s="1"/>
    </row>
    <row r="34" spans="39:39" x14ac:dyDescent="0.25">
      <c r="AM34" s="1"/>
    </row>
    <row r="35" spans="39:39" x14ac:dyDescent="0.25">
      <c r="AM35" s="1"/>
    </row>
    <row r="36" spans="39:39" x14ac:dyDescent="0.25">
      <c r="AM36" s="1"/>
    </row>
    <row r="37" spans="39:39" x14ac:dyDescent="0.25">
      <c r="AM37" s="1"/>
    </row>
    <row r="38" spans="39:39" x14ac:dyDescent="0.25">
      <c r="AM38" s="1"/>
    </row>
    <row r="39" spans="39:39" x14ac:dyDescent="0.25">
      <c r="AM39" s="1"/>
    </row>
    <row r="40" spans="39:39" x14ac:dyDescent="0.25">
      <c r="AM40" s="1"/>
    </row>
    <row r="41" spans="39:39" x14ac:dyDescent="0.25">
      <c r="AM41" s="1"/>
    </row>
    <row r="42" spans="39:39" x14ac:dyDescent="0.25">
      <c r="AM42" s="1"/>
    </row>
    <row r="43" spans="39:39" x14ac:dyDescent="0.25">
      <c r="AM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2018-05-11T19:45:28Z</dcterms:modified>
</cp:coreProperties>
</file>