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601"/>
  <workbookPr date1904="1" showInkAnnotation="0" codeName="ThisWorkbook" autoCompressPictures="0"/>
  <mc:AlternateContent xmlns:mc="http://schemas.openxmlformats.org/markup-compatibility/2006">
    <mc:Choice Requires="x15">
      <x15ac:absPath xmlns:x15ac="http://schemas.microsoft.com/office/spreadsheetml/2010/11/ac" url="\\utig3.ig.utexas.edu\flemings\shannon\All_Access\GeoMechanics_Lab\Pressure Core Center\Quantitative Degassing\H005-13FB-1-5-18\Log sheets\"/>
    </mc:Choice>
  </mc:AlternateContent>
  <xr:revisionPtr revIDLastSave="0" documentId="13_ncr:1_{BAB472CF-8D35-4AAD-ACC8-B24FE463DB5E}" xr6:coauthVersionLast="43" xr6:coauthVersionMax="43" xr10:uidLastSave="{00000000-0000-0000-0000-000000000000}"/>
  <bookViews>
    <workbookView xWindow="975" yWindow="2160" windowWidth="26790" windowHeight="11400" tabRatio="623" xr2:uid="{00000000-000D-0000-FFFF-FFFF00000000}"/>
  </bookViews>
  <sheets>
    <sheet name="UT-GOM2-1-H005-6FB-2 21.5-41.5" sheetId="27" r:id="rId1"/>
    <sheet name="graph-sampling" sheetId="32" r:id="rId2"/>
    <sheet name="graph-sampling (2)" sheetId="33" r:id="rId3"/>
    <sheet name="graph" sheetId="31" r:id="rId4"/>
  </sheets>
  <definedNames>
    <definedName name="_xlnm.Print_Area" localSheetId="0">'UT-GOM2-1-H005-6FB-2 21.5-41.5'!#REF!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46" i="27" l="1"/>
  <c r="I44" i="27"/>
  <c r="I42" i="27"/>
  <c r="I40" i="27"/>
  <c r="I38" i="27"/>
  <c r="I34" i="27"/>
  <c r="I32" i="27"/>
  <c r="I31" i="27"/>
  <c r="I28" i="27"/>
  <c r="I26" i="27"/>
  <c r="F46" i="27" l="1"/>
  <c r="F44" i="27"/>
  <c r="F42" i="27"/>
  <c r="F40" i="27"/>
  <c r="F38" i="27"/>
  <c r="F34" i="27" l="1"/>
  <c r="F32" i="27"/>
  <c r="F31" i="27"/>
  <c r="F28" i="27"/>
  <c r="F26" i="27"/>
  <c r="AJ6" i="27" l="1"/>
  <c r="AK6" i="27" s="1"/>
  <c r="AG79" i="27" l="1"/>
  <c r="AG75" i="27"/>
  <c r="AG71" i="27"/>
  <c r="AG69" i="27"/>
  <c r="AG67" i="27"/>
  <c r="AG63" i="27"/>
  <c r="AF79" i="27"/>
  <c r="AF75" i="27"/>
  <c r="AF71" i="27"/>
  <c r="AF69" i="27"/>
  <c r="AF67" i="27"/>
  <c r="AF63" i="27"/>
  <c r="AG81" i="27" l="1"/>
  <c r="AF81" i="27"/>
  <c r="AF84" i="27" s="1"/>
  <c r="P62" i="27"/>
  <c r="R62" i="27"/>
  <c r="T62" i="27"/>
  <c r="Y62" i="27"/>
  <c r="AC62" i="27"/>
  <c r="P63" i="27"/>
  <c r="R63" i="27"/>
  <c r="T63" i="27"/>
  <c r="Y63" i="27"/>
  <c r="AC63" i="27"/>
  <c r="P64" i="27"/>
  <c r="R64" i="27"/>
  <c r="T64" i="27"/>
  <c r="Y64" i="27"/>
  <c r="AC64" i="27"/>
  <c r="P65" i="27"/>
  <c r="R65" i="27"/>
  <c r="T65" i="27"/>
  <c r="Y65" i="27"/>
  <c r="AC65" i="27"/>
  <c r="P66" i="27"/>
  <c r="R66" i="27"/>
  <c r="T66" i="27"/>
  <c r="Y66" i="27"/>
  <c r="AC66" i="27"/>
  <c r="P67" i="27"/>
  <c r="R67" i="27"/>
  <c r="T67" i="27"/>
  <c r="Y67" i="27"/>
  <c r="AC67" i="27"/>
  <c r="P68" i="27"/>
  <c r="R68" i="27"/>
  <c r="T68" i="27"/>
  <c r="Y68" i="27"/>
  <c r="AC68" i="27"/>
  <c r="P69" i="27"/>
  <c r="R69" i="27"/>
  <c r="T69" i="27"/>
  <c r="Y69" i="27"/>
  <c r="AC69" i="27"/>
  <c r="P70" i="27"/>
  <c r="R70" i="27"/>
  <c r="T70" i="27"/>
  <c r="Y70" i="27"/>
  <c r="AC70" i="27"/>
  <c r="P71" i="27"/>
  <c r="R71" i="27"/>
  <c r="T71" i="27"/>
  <c r="Y71" i="27"/>
  <c r="AC71" i="27"/>
  <c r="P72" i="27"/>
  <c r="R72" i="27"/>
  <c r="T72" i="27"/>
  <c r="Y72" i="27"/>
  <c r="AC72" i="27"/>
  <c r="P73" i="27"/>
  <c r="R73" i="27"/>
  <c r="T73" i="27"/>
  <c r="Y73" i="27"/>
  <c r="AC73" i="27"/>
  <c r="P74" i="27"/>
  <c r="R74" i="27"/>
  <c r="T74" i="27"/>
  <c r="Y74" i="27"/>
  <c r="AC74" i="27"/>
  <c r="P75" i="27"/>
  <c r="R75" i="27"/>
  <c r="T75" i="27"/>
  <c r="Y75" i="27"/>
  <c r="AC75" i="27"/>
  <c r="P76" i="27"/>
  <c r="R76" i="27"/>
  <c r="T76" i="27"/>
  <c r="Y76" i="27"/>
  <c r="AC76" i="27"/>
  <c r="P77" i="27"/>
  <c r="R77" i="27"/>
  <c r="T77" i="27"/>
  <c r="Y77" i="27"/>
  <c r="AC77" i="27"/>
  <c r="P78" i="27"/>
  <c r="R78" i="27"/>
  <c r="T78" i="27"/>
  <c r="Y78" i="27"/>
  <c r="AC78" i="27"/>
  <c r="P79" i="27"/>
  <c r="R79" i="27"/>
  <c r="T79" i="27"/>
  <c r="Y79" i="27"/>
  <c r="AC79" i="27"/>
  <c r="P80" i="27"/>
  <c r="R80" i="27"/>
  <c r="T80" i="27"/>
  <c r="Y80" i="27"/>
  <c r="AC80" i="27"/>
  <c r="P81" i="27"/>
  <c r="R81" i="27"/>
  <c r="T81" i="27"/>
  <c r="Y81" i="27"/>
  <c r="AC81" i="27"/>
  <c r="P82" i="27"/>
  <c r="R82" i="27"/>
  <c r="T82" i="27"/>
  <c r="Y82" i="27"/>
  <c r="AC82" i="27"/>
  <c r="P83" i="27"/>
  <c r="R83" i="27"/>
  <c r="T83" i="27"/>
  <c r="Y83" i="27"/>
  <c r="AC83" i="27"/>
  <c r="P84" i="27"/>
  <c r="R84" i="27"/>
  <c r="T84" i="27"/>
  <c r="Y84" i="27"/>
  <c r="AC84" i="27"/>
  <c r="P85" i="27"/>
  <c r="R85" i="27"/>
  <c r="T85" i="27"/>
  <c r="Y85" i="27"/>
  <c r="AC85" i="27"/>
  <c r="P86" i="27"/>
  <c r="R86" i="27"/>
  <c r="T86" i="27"/>
  <c r="Y86" i="27"/>
  <c r="AC86" i="27"/>
  <c r="P87" i="27"/>
  <c r="R87" i="27"/>
  <c r="T87" i="27"/>
  <c r="Y87" i="27"/>
  <c r="AC87" i="27"/>
  <c r="P88" i="27"/>
  <c r="R88" i="27"/>
  <c r="T88" i="27"/>
  <c r="Y88" i="27"/>
  <c r="AC88" i="27"/>
  <c r="P89" i="27"/>
  <c r="R89" i="27"/>
  <c r="T89" i="27"/>
  <c r="Y89" i="27"/>
  <c r="AC89" i="27"/>
  <c r="P90" i="27"/>
  <c r="R90" i="27"/>
  <c r="T90" i="27"/>
  <c r="Y90" i="27"/>
  <c r="AC90" i="27"/>
  <c r="P91" i="27"/>
  <c r="R91" i="27"/>
  <c r="T91" i="27"/>
  <c r="Y91" i="27"/>
  <c r="AC91" i="27"/>
  <c r="P92" i="27"/>
  <c r="R92" i="27"/>
  <c r="T92" i="27"/>
  <c r="Y92" i="27"/>
  <c r="AC92" i="27"/>
  <c r="P93" i="27"/>
  <c r="R93" i="27"/>
  <c r="T93" i="27"/>
  <c r="Y93" i="27"/>
  <c r="AC93" i="27"/>
  <c r="P94" i="27"/>
  <c r="R94" i="27"/>
  <c r="T94" i="27"/>
  <c r="Y94" i="27"/>
  <c r="AC94" i="27"/>
  <c r="P95" i="27"/>
  <c r="R95" i="27"/>
  <c r="T95" i="27"/>
  <c r="Y95" i="27"/>
  <c r="AC95" i="27"/>
  <c r="P96" i="27"/>
  <c r="R96" i="27"/>
  <c r="T96" i="27"/>
  <c r="Y96" i="27"/>
  <c r="AC96" i="27"/>
  <c r="V95" i="27" l="1"/>
  <c r="V92" i="27"/>
  <c r="V89" i="27"/>
  <c r="V86" i="27"/>
  <c r="V88" i="27"/>
  <c r="V93" i="27"/>
  <c r="V84" i="27"/>
  <c r="V94" i="27"/>
  <c r="V91" i="27"/>
  <c r="V96" i="27"/>
  <c r="V90" i="27"/>
  <c r="V87" i="27"/>
  <c r="V81" i="27"/>
  <c r="V85" i="27"/>
  <c r="V78" i="27"/>
  <c r="V80" i="27"/>
  <c r="V83" i="27"/>
  <c r="V79" i="27"/>
  <c r="V82" i="27"/>
  <c r="Y8" i="27"/>
  <c r="Y9" i="27"/>
  <c r="Y10" i="27"/>
  <c r="Y11" i="27"/>
  <c r="Y12" i="27"/>
  <c r="Y13" i="27"/>
  <c r="Y14" i="27"/>
  <c r="Y15" i="27"/>
  <c r="Y16" i="27"/>
  <c r="Y17" i="27"/>
  <c r="Y18" i="27"/>
  <c r="Y19" i="27"/>
  <c r="Y20" i="27"/>
  <c r="Y21" i="27"/>
  <c r="Y22" i="27"/>
  <c r="Y23" i="27"/>
  <c r="Y24" i="27"/>
  <c r="Y25" i="27"/>
  <c r="Y26" i="27"/>
  <c r="Y27" i="27"/>
  <c r="Y28" i="27"/>
  <c r="Y29" i="27"/>
  <c r="Y30" i="27"/>
  <c r="Y31" i="27"/>
  <c r="Y32" i="27"/>
  <c r="Y33" i="27"/>
  <c r="Y34" i="27"/>
  <c r="Y35" i="27"/>
  <c r="Y36" i="27"/>
  <c r="Y37" i="27"/>
  <c r="Y38" i="27"/>
  <c r="Y39" i="27"/>
  <c r="Y40" i="27"/>
  <c r="Y41" i="27"/>
  <c r="Y42" i="27"/>
  <c r="Y43" i="27"/>
  <c r="Y44" i="27"/>
  <c r="Y45" i="27"/>
  <c r="Y46" i="27"/>
  <c r="Y47" i="27"/>
  <c r="Y48" i="27"/>
  <c r="Y49" i="27"/>
  <c r="Y50" i="27"/>
  <c r="Y51" i="27"/>
  <c r="Y52" i="27"/>
  <c r="Y53" i="27"/>
  <c r="Y54" i="27"/>
  <c r="Y55" i="27"/>
  <c r="Y56" i="27"/>
  <c r="Y57" i="27"/>
  <c r="Y58" i="27"/>
  <c r="Y59" i="27"/>
  <c r="Y60" i="27"/>
  <c r="Y61" i="27"/>
  <c r="Y7" i="27"/>
  <c r="P29" i="27"/>
  <c r="R29" i="27"/>
  <c r="T29" i="27"/>
  <c r="AC29" i="27"/>
  <c r="P30" i="27"/>
  <c r="R30" i="27"/>
  <c r="T30" i="27"/>
  <c r="AC30" i="27"/>
  <c r="P31" i="27"/>
  <c r="R31" i="27"/>
  <c r="T31" i="27"/>
  <c r="AC31" i="27"/>
  <c r="P32" i="27"/>
  <c r="R32" i="27"/>
  <c r="T32" i="27"/>
  <c r="AC32" i="27"/>
  <c r="P33" i="27"/>
  <c r="R33" i="27"/>
  <c r="T33" i="27"/>
  <c r="AC33" i="27"/>
  <c r="P34" i="27"/>
  <c r="R34" i="27"/>
  <c r="T34" i="27"/>
  <c r="AC34" i="27"/>
  <c r="P35" i="27"/>
  <c r="R35" i="27"/>
  <c r="T35" i="27"/>
  <c r="AC35" i="27"/>
  <c r="P36" i="27"/>
  <c r="R36" i="27"/>
  <c r="T36" i="27"/>
  <c r="AC36" i="27"/>
  <c r="P37" i="27"/>
  <c r="R37" i="27"/>
  <c r="T37" i="27"/>
  <c r="AC37" i="27"/>
  <c r="P38" i="27"/>
  <c r="R38" i="27"/>
  <c r="T38" i="27"/>
  <c r="AC38" i="27"/>
  <c r="P39" i="27"/>
  <c r="R39" i="27"/>
  <c r="T39" i="27"/>
  <c r="AC39" i="27"/>
  <c r="P40" i="27"/>
  <c r="R40" i="27"/>
  <c r="T40" i="27"/>
  <c r="AC40" i="27"/>
  <c r="P41" i="27"/>
  <c r="R41" i="27"/>
  <c r="T41" i="27"/>
  <c r="AC41" i="27"/>
  <c r="P42" i="27"/>
  <c r="R42" i="27"/>
  <c r="T42" i="27"/>
  <c r="AC42" i="27"/>
  <c r="P43" i="27"/>
  <c r="R43" i="27"/>
  <c r="T43" i="27"/>
  <c r="AC43" i="27"/>
  <c r="P44" i="27"/>
  <c r="R44" i="27"/>
  <c r="T44" i="27"/>
  <c r="AC44" i="27"/>
  <c r="P45" i="27"/>
  <c r="R45" i="27"/>
  <c r="T45" i="27"/>
  <c r="AC45" i="27"/>
  <c r="P46" i="27"/>
  <c r="R46" i="27"/>
  <c r="T46" i="27"/>
  <c r="AC46" i="27"/>
  <c r="P47" i="27"/>
  <c r="R47" i="27"/>
  <c r="T47" i="27"/>
  <c r="AC47" i="27"/>
  <c r="P48" i="27"/>
  <c r="R48" i="27"/>
  <c r="T48" i="27"/>
  <c r="AC48" i="27"/>
  <c r="P49" i="27"/>
  <c r="R49" i="27"/>
  <c r="T49" i="27"/>
  <c r="AC49" i="27"/>
  <c r="P50" i="27"/>
  <c r="R50" i="27"/>
  <c r="T50" i="27"/>
  <c r="AC50" i="27"/>
  <c r="P51" i="27"/>
  <c r="R51" i="27"/>
  <c r="T51" i="27"/>
  <c r="AC51" i="27"/>
  <c r="P52" i="27"/>
  <c r="R52" i="27"/>
  <c r="T52" i="27"/>
  <c r="AC52" i="27"/>
  <c r="P53" i="27"/>
  <c r="R53" i="27"/>
  <c r="T53" i="27"/>
  <c r="AC53" i="27"/>
  <c r="P54" i="27"/>
  <c r="R54" i="27"/>
  <c r="T54" i="27"/>
  <c r="AC54" i="27"/>
  <c r="P55" i="27"/>
  <c r="R55" i="27"/>
  <c r="T55" i="27"/>
  <c r="AC55" i="27"/>
  <c r="P56" i="27"/>
  <c r="R56" i="27"/>
  <c r="T56" i="27"/>
  <c r="AC56" i="27"/>
  <c r="P57" i="27"/>
  <c r="R57" i="27"/>
  <c r="T57" i="27"/>
  <c r="AC57" i="27"/>
  <c r="P58" i="27"/>
  <c r="R58" i="27"/>
  <c r="T58" i="27"/>
  <c r="AC58" i="27"/>
  <c r="P59" i="27"/>
  <c r="R59" i="27"/>
  <c r="T59" i="27"/>
  <c r="AC59" i="27"/>
  <c r="P60" i="27"/>
  <c r="R60" i="27"/>
  <c r="T60" i="27"/>
  <c r="AC60" i="27"/>
  <c r="P61" i="27"/>
  <c r="R61" i="27"/>
  <c r="T61" i="27"/>
  <c r="AC61" i="27"/>
  <c r="AC7" i="27"/>
  <c r="AC8" i="27"/>
  <c r="AC9" i="27"/>
  <c r="AC10" i="27"/>
  <c r="AC11" i="27"/>
  <c r="AC12" i="27"/>
  <c r="AC13" i="27"/>
  <c r="AC14" i="27"/>
  <c r="AC15" i="27"/>
  <c r="AC16" i="27"/>
  <c r="AC17" i="27"/>
  <c r="AC18" i="27"/>
  <c r="AC19" i="27"/>
  <c r="AC20" i="27"/>
  <c r="AC21" i="27"/>
  <c r="AC22" i="27"/>
  <c r="AC23" i="27"/>
  <c r="AC24" i="27"/>
  <c r="AC25" i="27"/>
  <c r="AC26" i="27"/>
  <c r="AC27" i="27"/>
  <c r="AC28" i="27"/>
  <c r="AC6" i="27"/>
  <c r="O2" i="27"/>
  <c r="X6" i="27"/>
  <c r="X7" i="27" s="1"/>
  <c r="X8" i="27" s="1"/>
  <c r="X9" i="27" s="1"/>
  <c r="A7" i="27"/>
  <c r="A8" i="27" s="1"/>
  <c r="A9" i="27" s="1"/>
  <c r="A10" i="27" s="1"/>
  <c r="A11" i="27" s="1"/>
  <c r="A12" i="27" s="1"/>
  <c r="A13" i="27" s="1"/>
  <c r="A14" i="27" s="1"/>
  <c r="A15" i="27" s="1"/>
  <c r="A16" i="27" s="1"/>
  <c r="A17" i="27" s="1"/>
  <c r="A18" i="27" s="1"/>
  <c r="A19" i="27" s="1"/>
  <c r="A20" i="27" s="1"/>
  <c r="A21" i="27" s="1"/>
  <c r="A22" i="27" s="1"/>
  <c r="A23" i="27" s="1"/>
  <c r="A24" i="27" s="1"/>
  <c r="A25" i="27" s="1"/>
  <c r="A26" i="27" s="1"/>
  <c r="A27" i="27" s="1"/>
  <c r="A28" i="27" s="1"/>
  <c r="A29" i="27" s="1"/>
  <c r="A30" i="27" s="1"/>
  <c r="A31" i="27" s="1"/>
  <c r="A32" i="27" s="1"/>
  <c r="A33" i="27" s="1"/>
  <c r="A34" i="27" s="1"/>
  <c r="A35" i="27" s="1"/>
  <c r="A36" i="27" s="1"/>
  <c r="A37" i="27" s="1"/>
  <c r="A38" i="27" s="1"/>
  <c r="A39" i="27" s="1"/>
  <c r="A40" i="27" s="1"/>
  <c r="A41" i="27" s="1"/>
  <c r="A42" i="27" s="1"/>
  <c r="A43" i="27" s="1"/>
  <c r="A44" i="27" s="1"/>
  <c r="A45" i="27" s="1"/>
  <c r="A46" i="27" s="1"/>
  <c r="A47" i="27" s="1"/>
  <c r="A48" i="27" s="1"/>
  <c r="A49" i="27" s="1"/>
  <c r="A50" i="27" s="1"/>
  <c r="A51" i="27" s="1"/>
  <c r="A52" i="27" s="1"/>
  <c r="A53" i="27" s="1"/>
  <c r="A54" i="27" s="1"/>
  <c r="A55" i="27" s="1"/>
  <c r="A56" i="27" s="1"/>
  <c r="A57" i="27" s="1"/>
  <c r="A58" i="27" s="1"/>
  <c r="A59" i="27" s="1"/>
  <c r="A60" i="27" s="1"/>
  <c r="A61" i="27" s="1"/>
  <c r="A62" i="27" s="1"/>
  <c r="A63" i="27" s="1"/>
  <c r="A64" i="27" s="1"/>
  <c r="A65" i="27" s="1"/>
  <c r="A66" i="27" s="1"/>
  <c r="A67" i="27" s="1"/>
  <c r="A68" i="27" s="1"/>
  <c r="A69" i="27" s="1"/>
  <c r="A70" i="27" s="1"/>
  <c r="A71" i="27" s="1"/>
  <c r="A72" i="27" s="1"/>
  <c r="A73" i="27" s="1"/>
  <c r="A74" i="27" s="1"/>
  <c r="A75" i="27" s="1"/>
  <c r="A76" i="27" s="1"/>
  <c r="A77" i="27" s="1"/>
  <c r="A78" i="27" s="1"/>
  <c r="A79" i="27" s="1"/>
  <c r="A80" i="27" s="1"/>
  <c r="A81" i="27" s="1"/>
  <c r="A82" i="27" s="1"/>
  <c r="A83" i="27" s="1"/>
  <c r="A84" i="27" s="1"/>
  <c r="A85" i="27" s="1"/>
  <c r="A86" i="27" s="1"/>
  <c r="A87" i="27" s="1"/>
  <c r="A88" i="27" s="1"/>
  <c r="A89" i="27" s="1"/>
  <c r="A90" i="27" s="1"/>
  <c r="A91" i="27" s="1"/>
  <c r="A92" i="27" s="1"/>
  <c r="A93" i="27" s="1"/>
  <c r="A94" i="27" s="1"/>
  <c r="A95" i="27" s="1"/>
  <c r="A96" i="27" s="1"/>
  <c r="P19" i="27"/>
  <c r="P7" i="27"/>
  <c r="Q7" i="27" s="1"/>
  <c r="P8" i="27"/>
  <c r="P9" i="27"/>
  <c r="P10" i="27"/>
  <c r="P11" i="27"/>
  <c r="P12" i="27"/>
  <c r="P13" i="27"/>
  <c r="P14" i="27"/>
  <c r="P15" i="27"/>
  <c r="P16" i="27"/>
  <c r="P17" i="27"/>
  <c r="P18" i="27"/>
  <c r="P20" i="27"/>
  <c r="P21" i="27"/>
  <c r="P22" i="27"/>
  <c r="P23" i="27"/>
  <c r="P24" i="27"/>
  <c r="P25" i="27"/>
  <c r="P26" i="27"/>
  <c r="P27" i="27"/>
  <c r="P28" i="27"/>
  <c r="T6" i="27"/>
  <c r="R6" i="27"/>
  <c r="T7" i="27"/>
  <c r="R7" i="27"/>
  <c r="T8" i="27"/>
  <c r="R8" i="27"/>
  <c r="T9" i="27"/>
  <c r="R9" i="27"/>
  <c r="T10" i="27"/>
  <c r="R10" i="27"/>
  <c r="T11" i="27"/>
  <c r="R11" i="27"/>
  <c r="T12" i="27"/>
  <c r="R12" i="27"/>
  <c r="T13" i="27"/>
  <c r="R13" i="27"/>
  <c r="T14" i="27"/>
  <c r="R14" i="27"/>
  <c r="T15" i="27"/>
  <c r="R15" i="27"/>
  <c r="T16" i="27"/>
  <c r="R16" i="27"/>
  <c r="T17" i="27"/>
  <c r="R17" i="27"/>
  <c r="T18" i="27"/>
  <c r="R18" i="27"/>
  <c r="T19" i="27"/>
  <c r="R19" i="27"/>
  <c r="T20" i="27"/>
  <c r="R20" i="27"/>
  <c r="T21" i="27"/>
  <c r="R21" i="27"/>
  <c r="T22" i="27"/>
  <c r="R22" i="27"/>
  <c r="T23" i="27"/>
  <c r="R23" i="27"/>
  <c r="T24" i="27"/>
  <c r="R24" i="27"/>
  <c r="T25" i="27"/>
  <c r="R25" i="27"/>
  <c r="T26" i="27"/>
  <c r="R26" i="27"/>
  <c r="T27" i="27"/>
  <c r="R27" i="27"/>
  <c r="T28" i="27"/>
  <c r="R28" i="27"/>
  <c r="V77" i="27" l="1"/>
  <c r="S18" i="27"/>
  <c r="S64" i="27"/>
  <c r="S68" i="27"/>
  <c r="S72" i="27"/>
  <c r="S76" i="27"/>
  <c r="S80" i="27"/>
  <c r="S84" i="27"/>
  <c r="S87" i="27"/>
  <c r="S90" i="27"/>
  <c r="S63" i="27"/>
  <c r="S71" i="27"/>
  <c r="S83" i="27"/>
  <c r="S92" i="27"/>
  <c r="S95" i="27"/>
  <c r="S67" i="27"/>
  <c r="S75" i="27"/>
  <c r="S79" i="27"/>
  <c r="S88" i="27"/>
  <c r="S91" i="27"/>
  <c r="S65" i="27"/>
  <c r="S69" i="27"/>
  <c r="S73" i="27"/>
  <c r="S77" i="27"/>
  <c r="S81" i="27"/>
  <c r="S85" i="27"/>
  <c r="S62" i="27"/>
  <c r="S86" i="27"/>
  <c r="S94" i="27"/>
  <c r="S96" i="27"/>
  <c r="S74" i="27"/>
  <c r="S78" i="27"/>
  <c r="S82" i="27"/>
  <c r="S70" i="27"/>
  <c r="S66" i="27"/>
  <c r="S89" i="27"/>
  <c r="S93" i="27"/>
  <c r="V76" i="27"/>
  <c r="S6" i="27"/>
  <c r="Q8" i="27"/>
  <c r="Q9" i="27" s="1"/>
  <c r="Q10" i="27" s="1"/>
  <c r="Q11" i="27" s="1"/>
  <c r="Q12" i="27" s="1"/>
  <c r="Q13" i="27" s="1"/>
  <c r="Q14" i="27" s="1"/>
  <c r="Q15" i="27" s="1"/>
  <c r="Q16" i="27" s="1"/>
  <c r="Q17" i="27" s="1"/>
  <c r="Q18" i="27" s="1"/>
  <c r="Q19" i="27" s="1"/>
  <c r="Q20" i="27" s="1"/>
  <c r="Q21" i="27" s="1"/>
  <c r="Q22" i="27" s="1"/>
  <c r="Q23" i="27" s="1"/>
  <c r="Q24" i="27" s="1"/>
  <c r="Q25" i="27" s="1"/>
  <c r="Q26" i="27" s="1"/>
  <c r="Q27" i="27" s="1"/>
  <c r="Q28" i="27" s="1"/>
  <c r="Q29" i="27" s="1"/>
  <c r="Q30" i="27" s="1"/>
  <c r="Q31" i="27" s="1"/>
  <c r="Q32" i="27" s="1"/>
  <c r="Q33" i="27" s="1"/>
  <c r="Q34" i="27" s="1"/>
  <c r="Q35" i="27" s="1"/>
  <c r="Q36" i="27" s="1"/>
  <c r="Q37" i="27" s="1"/>
  <c r="Q38" i="27" s="1"/>
  <c r="Q39" i="27" s="1"/>
  <c r="Q40" i="27" s="1"/>
  <c r="Q41" i="27" s="1"/>
  <c r="Q42" i="27" s="1"/>
  <c r="Q43" i="27" s="1"/>
  <c r="Q44" i="27" s="1"/>
  <c r="Q45" i="27" s="1"/>
  <c r="Q46" i="27" s="1"/>
  <c r="Q47" i="27" s="1"/>
  <c r="Q48" i="27" s="1"/>
  <c r="Q49" i="27" s="1"/>
  <c r="Q50" i="27" s="1"/>
  <c r="Q51" i="27" s="1"/>
  <c r="Q52" i="27" s="1"/>
  <c r="Q53" i="27" s="1"/>
  <c r="Q54" i="27" s="1"/>
  <c r="Q55" i="27" s="1"/>
  <c r="Q56" i="27" s="1"/>
  <c r="Q57" i="27" s="1"/>
  <c r="Q58" i="27" s="1"/>
  <c r="Q59" i="27" s="1"/>
  <c r="Q60" i="27" s="1"/>
  <c r="Q61" i="27" s="1"/>
  <c r="Q62" i="27" s="1"/>
  <c r="Q63" i="27" s="1"/>
  <c r="Q64" i="27" s="1"/>
  <c r="Q65" i="27" s="1"/>
  <c r="Q66" i="27" s="1"/>
  <c r="Q67" i="27" s="1"/>
  <c r="Q68" i="27" s="1"/>
  <c r="Q69" i="27" s="1"/>
  <c r="Q70" i="27" s="1"/>
  <c r="Q71" i="27" s="1"/>
  <c r="Q72" i="27" s="1"/>
  <c r="Q73" i="27" s="1"/>
  <c r="Q74" i="27" s="1"/>
  <c r="Q75" i="27" s="1"/>
  <c r="Q76" i="27" s="1"/>
  <c r="Q77" i="27" s="1"/>
  <c r="Q78" i="27" s="1"/>
  <c r="Q79" i="27" s="1"/>
  <c r="Q80" i="27" s="1"/>
  <c r="Q81" i="27" s="1"/>
  <c r="Q82" i="27" s="1"/>
  <c r="Q83" i="27" s="1"/>
  <c r="Q84" i="27" s="1"/>
  <c r="Q85" i="27" s="1"/>
  <c r="Q86" i="27" s="1"/>
  <c r="Q87" i="27" s="1"/>
  <c r="Q88" i="27" s="1"/>
  <c r="Q89" i="27" s="1"/>
  <c r="Q90" i="27" s="1"/>
  <c r="Q91" i="27" s="1"/>
  <c r="Q92" i="27" s="1"/>
  <c r="Q93" i="27" s="1"/>
  <c r="Q94" i="27" s="1"/>
  <c r="Q95" i="27" s="1"/>
  <c r="Q96" i="27" s="1"/>
  <c r="S34" i="27"/>
  <c r="S35" i="27"/>
  <c r="S29" i="27"/>
  <c r="S32" i="27"/>
  <c r="S33" i="27"/>
  <c r="S27" i="27"/>
  <c r="S36" i="27"/>
  <c r="S55" i="27"/>
  <c r="S11" i="27"/>
  <c r="S39" i="27"/>
  <c r="S16" i="27"/>
  <c r="S49" i="27"/>
  <c r="S17" i="27"/>
  <c r="S60" i="27"/>
  <c r="S25" i="27"/>
  <c r="S50" i="27"/>
  <c r="S57" i="27"/>
  <c r="S41" i="27"/>
  <c r="S61" i="27"/>
  <c r="S52" i="27"/>
  <c r="S54" i="27"/>
  <c r="S14" i="27"/>
  <c r="S19" i="27"/>
  <c r="S20" i="27"/>
  <c r="S12" i="27"/>
  <c r="S26" i="27"/>
  <c r="S21" i="27"/>
  <c r="S43" i="27"/>
  <c r="S40" i="27"/>
  <c r="S23" i="27"/>
  <c r="S46" i="27"/>
  <c r="S51" i="27"/>
  <c r="S47" i="27"/>
  <c r="S31" i="27"/>
  <c r="S7" i="27"/>
  <c r="S24" i="27"/>
  <c r="S56" i="27"/>
  <c r="S42" i="27"/>
  <c r="S30" i="27"/>
  <c r="S22" i="27"/>
  <c r="S8" i="27"/>
  <c r="S9" i="27"/>
  <c r="S37" i="27"/>
  <c r="S45" i="27"/>
  <c r="S58" i="27"/>
  <c r="S15" i="27"/>
  <c r="S13" i="27"/>
  <c r="S48" i="27"/>
  <c r="S53" i="27"/>
  <c r="S10" i="27"/>
  <c r="S28" i="27"/>
  <c r="S59" i="27"/>
  <c r="S44" i="27"/>
  <c r="S38" i="27"/>
  <c r="X10" i="27"/>
  <c r="V75" i="27" l="1"/>
  <c r="X11" i="27"/>
  <c r="V74" i="27" l="1"/>
  <c r="X12" i="27"/>
  <c r="V73" i="27" l="1"/>
  <c r="X13" i="27"/>
  <c r="V72" i="27" l="1"/>
  <c r="X14" i="27"/>
  <c r="V71" i="27" l="1"/>
  <c r="X15" i="27"/>
  <c r="V70" i="27" l="1"/>
  <c r="X16" i="27"/>
  <c r="V69" i="27" l="1"/>
  <c r="X17" i="27"/>
  <c r="V68" i="27" l="1"/>
  <c r="X18" i="27"/>
  <c r="V67" i="27" l="1"/>
  <c r="X19" i="27"/>
  <c r="V66" i="27" l="1"/>
  <c r="X20" i="27"/>
  <c r="V65" i="27" l="1"/>
  <c r="X21" i="27"/>
  <c r="V64" i="27" l="1"/>
  <c r="X22" i="27"/>
  <c r="V62" i="27" l="1"/>
  <c r="V63" i="27"/>
  <c r="X23" i="27"/>
  <c r="X24" i="27" l="1"/>
  <c r="X25" i="27" l="1"/>
  <c r="X26" i="27" l="1"/>
  <c r="V61" i="27" l="1"/>
  <c r="X27" i="27"/>
  <c r="X28" i="27" l="1"/>
  <c r="V60" i="27"/>
  <c r="V59" i="27" l="1"/>
  <c r="X29" i="27"/>
  <c r="V58" i="27" l="1"/>
  <c r="X30" i="27"/>
  <c r="V57" i="27" l="1"/>
  <c r="X31" i="27"/>
  <c r="V56" i="27" l="1"/>
  <c r="X32" i="27"/>
  <c r="X33" i="27" l="1"/>
  <c r="V55" i="27"/>
  <c r="V54" i="27" l="1"/>
  <c r="X34" i="27"/>
  <c r="V53" i="27" l="1"/>
  <c r="X35" i="27"/>
  <c r="X36" i="27" l="1"/>
  <c r="V52" i="27"/>
  <c r="V51" i="27" l="1"/>
  <c r="X37" i="27"/>
  <c r="V50" i="27" l="1"/>
  <c r="X38" i="27"/>
  <c r="V49" i="27" l="1"/>
  <c r="X39" i="27"/>
  <c r="V48" i="27" l="1"/>
  <c r="X40" i="27"/>
  <c r="X41" i="27" l="1"/>
  <c r="V47" i="27"/>
  <c r="V46" i="27" l="1"/>
  <c r="X42" i="27"/>
  <c r="V45" i="27" l="1"/>
  <c r="X43" i="27"/>
  <c r="X44" i="27" l="1"/>
  <c r="V44" i="27"/>
  <c r="Z43" i="27"/>
  <c r="V43" i="27" l="1"/>
  <c r="X45" i="27"/>
  <c r="Z44" i="27"/>
  <c r="V42" i="27" l="1"/>
  <c r="Z42" i="27"/>
  <c r="X46" i="27"/>
  <c r="Z45" i="27"/>
  <c r="X47" i="27" l="1"/>
  <c r="Z46" i="27"/>
  <c r="V41" i="27"/>
  <c r="Z41" i="27"/>
  <c r="Z47" i="27" l="1"/>
  <c r="X48" i="27"/>
  <c r="V40" i="27"/>
  <c r="Z40" i="27"/>
  <c r="V39" i="27" l="1"/>
  <c r="Z39" i="27"/>
  <c r="Z48" i="27"/>
  <c r="X49" i="27"/>
  <c r="V38" i="27" l="1"/>
  <c r="Z38" i="27"/>
  <c r="X50" i="27"/>
  <c r="Z49" i="27"/>
  <c r="V37" i="27" l="1"/>
  <c r="Z37" i="27"/>
  <c r="Z50" i="27"/>
  <c r="X51" i="27"/>
  <c r="V36" i="27" l="1"/>
  <c r="Z36" i="27"/>
  <c r="Z51" i="27"/>
  <c r="X52" i="27"/>
  <c r="X53" i="27" l="1"/>
  <c r="Z52" i="27"/>
  <c r="V35" i="27"/>
  <c r="Z35" i="27"/>
  <c r="V34" i="27" l="1"/>
  <c r="Z34" i="27"/>
  <c r="X54" i="27"/>
  <c r="Z53" i="27"/>
  <c r="X55" i="27" l="1"/>
  <c r="Z54" i="27"/>
  <c r="V33" i="27"/>
  <c r="Z33" i="27"/>
  <c r="V32" i="27" l="1"/>
  <c r="Z32" i="27"/>
  <c r="Z55" i="27"/>
  <c r="X56" i="27"/>
  <c r="Z56" i="27" l="1"/>
  <c r="X57" i="27"/>
  <c r="V31" i="27"/>
  <c r="Z31" i="27"/>
  <c r="X58" i="27" l="1"/>
  <c r="Z57" i="27"/>
  <c r="V30" i="27"/>
  <c r="Z30" i="27"/>
  <c r="V29" i="27" l="1"/>
  <c r="Z29" i="27"/>
  <c r="Z58" i="27"/>
  <c r="X59" i="27"/>
  <c r="Z59" i="27" l="1"/>
  <c r="X60" i="27"/>
  <c r="V28" i="27"/>
  <c r="Z28" i="27"/>
  <c r="X61" i="27" l="1"/>
  <c r="Z60" i="27"/>
  <c r="V27" i="27"/>
  <c r="Z27" i="27"/>
  <c r="X62" i="27" l="1"/>
  <c r="Z62" i="27" s="1"/>
  <c r="V26" i="27"/>
  <c r="Z26" i="27"/>
  <c r="Z61" i="27"/>
  <c r="X63" i="27" l="1"/>
  <c r="Z63" i="27" s="1"/>
  <c r="V25" i="27"/>
  <c r="Z25" i="27"/>
  <c r="X64" i="27" l="1"/>
  <c r="Z64" i="27" s="1"/>
  <c r="V24" i="27"/>
  <c r="Z24" i="27"/>
  <c r="X65" i="27" l="1"/>
  <c r="X66" i="27" s="1"/>
  <c r="V23" i="27"/>
  <c r="Z23" i="27"/>
  <c r="Z65" i="27" l="1"/>
  <c r="X67" i="27"/>
  <c r="Z66" i="27"/>
  <c r="V22" i="27"/>
  <c r="Z22" i="27"/>
  <c r="Z67" i="27" l="1"/>
  <c r="X68" i="27"/>
  <c r="V21" i="27"/>
  <c r="Z21" i="27"/>
  <c r="Z68" i="27" l="1"/>
  <c r="X69" i="27"/>
  <c r="V20" i="27"/>
  <c r="Z20" i="27"/>
  <c r="X70" i="27" l="1"/>
  <c r="Z69" i="27"/>
  <c r="V19" i="27"/>
  <c r="Z19" i="27"/>
  <c r="X71" i="27" l="1"/>
  <c r="Z70" i="27"/>
  <c r="V18" i="27"/>
  <c r="Z18" i="27"/>
  <c r="Z71" i="27" l="1"/>
  <c r="X72" i="27"/>
  <c r="V17" i="27"/>
  <c r="Z17" i="27"/>
  <c r="Z72" i="27" l="1"/>
  <c r="X73" i="27"/>
  <c r="V16" i="27"/>
  <c r="Z16" i="27"/>
  <c r="X74" i="27" l="1"/>
  <c r="Z73" i="27"/>
  <c r="V15" i="27"/>
  <c r="Z15" i="27"/>
  <c r="Z74" i="27" l="1"/>
  <c r="X75" i="27"/>
  <c r="V14" i="27"/>
  <c r="Z14" i="27"/>
  <c r="Z75" i="27" l="1"/>
  <c r="X76" i="27"/>
  <c r="V13" i="27"/>
  <c r="Z13" i="27"/>
  <c r="Z76" i="27" l="1"/>
  <c r="X77" i="27"/>
  <c r="V12" i="27"/>
  <c r="Z12" i="27"/>
  <c r="X78" i="27" l="1"/>
  <c r="Z77" i="27"/>
  <c r="V11" i="27"/>
  <c r="Z11" i="27"/>
  <c r="X79" i="27" l="1"/>
  <c r="Z78" i="27"/>
  <c r="V10" i="27"/>
  <c r="Z10" i="27"/>
  <c r="Z79" i="27" l="1"/>
  <c r="X80" i="27"/>
  <c r="V9" i="27"/>
  <c r="Z9" i="27"/>
  <c r="X81" i="27" l="1"/>
  <c r="Z80" i="27"/>
  <c r="V8" i="27"/>
  <c r="Z8" i="27"/>
  <c r="X82" i="27" l="1"/>
  <c r="Z81" i="27"/>
  <c r="Z7" i="27"/>
  <c r="V7" i="27"/>
  <c r="Z82" i="27" l="1"/>
  <c r="X83" i="27"/>
  <c r="V6" i="27"/>
  <c r="W6" i="27" s="1"/>
  <c r="Z6" i="27"/>
  <c r="Z83" i="27" l="1"/>
  <c r="X84" i="27"/>
  <c r="AA6" i="27"/>
  <c r="W7" i="27"/>
  <c r="X85" i="27" l="1"/>
  <c r="Z84" i="27"/>
  <c r="W8" i="27"/>
  <c r="AA7" i="27"/>
  <c r="X86" i="27" l="1"/>
  <c r="Z85" i="27"/>
  <c r="AA8" i="27"/>
  <c r="W9" i="27"/>
  <c r="Z86" i="27" l="1"/>
  <c r="X87" i="27"/>
  <c r="W10" i="27"/>
  <c r="AA9" i="27"/>
  <c r="X88" i="27" l="1"/>
  <c r="Z87" i="27"/>
  <c r="W11" i="27"/>
  <c r="AA10" i="27"/>
  <c r="X89" i="27" l="1"/>
  <c r="Z88" i="27"/>
  <c r="AA11" i="27"/>
  <c r="W12" i="27"/>
  <c r="Z89" i="27" l="1"/>
  <c r="X90" i="27"/>
  <c r="W13" i="27"/>
  <c r="AA12" i="27"/>
  <c r="X91" i="27" l="1"/>
  <c r="Z90" i="27"/>
  <c r="W14" i="27"/>
  <c r="AA13" i="27"/>
  <c r="X92" i="27" l="1"/>
  <c r="Z91" i="27"/>
  <c r="W15" i="27"/>
  <c r="AA14" i="27"/>
  <c r="Z92" i="27" l="1"/>
  <c r="X93" i="27"/>
  <c r="AA15" i="27"/>
  <c r="W16" i="27"/>
  <c r="X94" i="27" l="1"/>
  <c r="Z93" i="27"/>
  <c r="W17" i="27"/>
  <c r="AA16" i="27"/>
  <c r="Z94" i="27" l="1"/>
  <c r="X95" i="27"/>
  <c r="AA17" i="27"/>
  <c r="W18" i="27"/>
  <c r="Z95" i="27" l="1"/>
  <c r="X96" i="27"/>
  <c r="AA18" i="27"/>
  <c r="W19" i="27"/>
  <c r="Z96" i="27" l="1"/>
  <c r="AA19" i="27"/>
  <c r="W20" i="27"/>
  <c r="W21" i="27" l="1"/>
  <c r="AA20" i="27"/>
  <c r="W22" i="27" l="1"/>
  <c r="AA21" i="27"/>
  <c r="W23" i="27" l="1"/>
  <c r="AA22" i="27"/>
  <c r="AA23" i="27" l="1"/>
  <c r="W24" i="27"/>
  <c r="AA24" i="27" l="1"/>
  <c r="W25" i="27"/>
  <c r="W26" i="27" l="1"/>
  <c r="AA25" i="27"/>
  <c r="AA26" i="27" l="1"/>
  <c r="W27" i="27"/>
  <c r="W28" i="27" l="1"/>
  <c r="AA27" i="27"/>
  <c r="AA28" i="27" l="1"/>
  <c r="W29" i="27"/>
  <c r="W30" i="27" l="1"/>
  <c r="AA29" i="27"/>
  <c r="AA30" i="27" l="1"/>
  <c r="W31" i="27"/>
  <c r="AA31" i="27" l="1"/>
  <c r="W32" i="27"/>
  <c r="AA32" i="27" l="1"/>
  <c r="W33" i="27"/>
  <c r="AA33" i="27" l="1"/>
  <c r="W34" i="27"/>
  <c r="W35" i="27" l="1"/>
  <c r="AA34" i="27"/>
  <c r="W36" i="27" l="1"/>
  <c r="AA35" i="27"/>
  <c r="W37" i="27" l="1"/>
  <c r="AA36" i="27"/>
  <c r="AA37" i="27" l="1"/>
  <c r="W38" i="27"/>
  <c r="W39" i="27" l="1"/>
  <c r="AA38" i="27"/>
  <c r="W40" i="27" l="1"/>
  <c r="AA39" i="27"/>
  <c r="W41" i="27" l="1"/>
  <c r="AA40" i="27"/>
  <c r="AA41" i="27" l="1"/>
  <c r="W42" i="27"/>
  <c r="W43" i="27" l="1"/>
  <c r="AA42" i="27"/>
  <c r="AA43" i="27" l="1"/>
  <c r="W44" i="27"/>
  <c r="W45" i="27" l="1"/>
  <c r="AA44" i="27"/>
  <c r="AA45" i="27" l="1"/>
  <c r="W46" i="27"/>
  <c r="W47" i="27" l="1"/>
  <c r="AA46" i="27"/>
  <c r="AA47" i="27" l="1"/>
  <c r="W48" i="27"/>
  <c r="W49" i="27" l="1"/>
  <c r="AA48" i="27"/>
  <c r="AA49" i="27" l="1"/>
  <c r="W50" i="27"/>
  <c r="W51" i="27" l="1"/>
  <c r="AA50" i="27"/>
  <c r="W52" i="27" l="1"/>
  <c r="AA51" i="27"/>
  <c r="W53" i="27" l="1"/>
  <c r="AA52" i="27"/>
  <c r="AA53" i="27" l="1"/>
  <c r="W54" i="27"/>
  <c r="W55" i="27" l="1"/>
  <c r="AA54" i="27"/>
  <c r="W56" i="27" l="1"/>
  <c r="AA55" i="27"/>
  <c r="W57" i="27" l="1"/>
  <c r="AA56" i="27"/>
  <c r="AA57" i="27" l="1"/>
  <c r="W58" i="27"/>
  <c r="W59" i="27" l="1"/>
  <c r="AA58" i="27"/>
  <c r="W60" i="27" l="1"/>
  <c r="AA59" i="27"/>
  <c r="W61" i="27" l="1"/>
  <c r="W62" i="27" s="1"/>
  <c r="AA60" i="27"/>
  <c r="W63" i="27" l="1"/>
  <c r="AA62" i="27"/>
  <c r="AA61" i="27"/>
  <c r="AA63" i="27" l="1"/>
  <c r="W64" i="27"/>
  <c r="AA64" i="27" l="1"/>
  <c r="W65" i="27"/>
  <c r="W66" i="27" l="1"/>
  <c r="AA65" i="27"/>
  <c r="W67" i="27" l="1"/>
  <c r="AA66" i="27"/>
  <c r="AA67" i="27" l="1"/>
  <c r="W68" i="27"/>
  <c r="AA68" i="27" l="1"/>
  <c r="W69" i="27"/>
  <c r="W70" i="27" l="1"/>
  <c r="AA69" i="27"/>
  <c r="W71" i="27" l="1"/>
  <c r="AA70" i="27"/>
  <c r="AA71" i="27" l="1"/>
  <c r="W72" i="27"/>
  <c r="AA72" i="27" l="1"/>
  <c r="W73" i="27"/>
  <c r="W74" i="27" l="1"/>
  <c r="AA73" i="27"/>
  <c r="W75" i="27" l="1"/>
  <c r="AA74" i="27"/>
  <c r="AA75" i="27" l="1"/>
  <c r="W76" i="27"/>
  <c r="AA76" i="27" l="1"/>
  <c r="W77" i="27"/>
  <c r="W78" i="27" l="1"/>
  <c r="AA77" i="27"/>
  <c r="W79" i="27" l="1"/>
  <c r="AA78" i="27"/>
  <c r="AA79" i="27" l="1"/>
  <c r="W80" i="27"/>
  <c r="AA80" i="27" l="1"/>
  <c r="W81" i="27"/>
  <c r="W82" i="27" l="1"/>
  <c r="AA81" i="27"/>
  <c r="W83" i="27" l="1"/>
  <c r="AA82" i="27"/>
  <c r="AA83" i="27" l="1"/>
  <c r="W84" i="27"/>
  <c r="AA84" i="27" l="1"/>
  <c r="W85" i="27"/>
  <c r="AA85" i="27" l="1"/>
  <c r="W86" i="27"/>
  <c r="AA86" i="27" l="1"/>
  <c r="W87" i="27"/>
  <c r="W88" i="27" l="1"/>
  <c r="AA87" i="27"/>
  <c r="AA88" i="27" l="1"/>
  <c r="W89" i="27"/>
  <c r="AA89" i="27" l="1"/>
  <c r="W90" i="27"/>
  <c r="W91" i="27" l="1"/>
  <c r="AA90" i="27"/>
  <c r="W92" i="27" l="1"/>
  <c r="AA91" i="27"/>
  <c r="AA92" i="27" l="1"/>
  <c r="W93" i="27"/>
  <c r="AA93" i="27" l="1"/>
  <c r="W94" i="27"/>
  <c r="W95" i="27" l="1"/>
  <c r="AA94" i="27"/>
  <c r="AA95" i="27" l="1"/>
  <c r="W96" i="27"/>
  <c r="AA96" i="27" s="1"/>
</calcChain>
</file>

<file path=xl/sharedStrings.xml><?xml version="1.0" encoding="utf-8"?>
<sst xmlns="http://schemas.openxmlformats.org/spreadsheetml/2006/main" count="90" uniqueCount="77">
  <si>
    <t>Gas volume (ml)</t>
  </si>
  <si>
    <t>Start Date:</t>
  </si>
  <si>
    <t>Gas chamber</t>
  </si>
  <si>
    <t>Bubble chamber</t>
  </si>
  <si>
    <t xml:space="preserve">   Manifold </t>
  </si>
  <si>
    <t>Start P
(bar)</t>
  </si>
  <si>
    <t>End P
(bar)</t>
  </si>
  <si>
    <t>Liquid volume
(ml)</t>
  </si>
  <si>
    <t>Liquid Vol
(ml)</t>
  </si>
  <si>
    <t>Temp
(C)</t>
  </si>
  <si>
    <t>Ambient Pressure (mbar):</t>
  </si>
  <si>
    <t xml:space="preserve">   Sample ID/Chamber</t>
  </si>
  <si>
    <t>CH4 %</t>
  </si>
  <si>
    <t xml:space="preserve"> </t>
  </si>
  <si>
    <t>Total Time
(hrs)</t>
  </si>
  <si>
    <t>Volume Gas 
Chamber
(ml)</t>
  </si>
  <si>
    <t>Date</t>
  </si>
  <si>
    <t>Stage</t>
  </si>
  <si>
    <t>Time</t>
  </si>
  <si>
    <t>Other Samples / Comments</t>
  </si>
  <si>
    <t>Incremental Time
(min)</t>
  </si>
  <si>
    <t>Manifold</t>
  </si>
  <si>
    <t>expelled methane</t>
  </si>
  <si>
    <t>total methane</t>
  </si>
  <si>
    <t>time</t>
  </si>
  <si>
    <t>incremental expelled gas</t>
  </si>
  <si>
    <t>gas chamber</t>
  </si>
  <si>
    <t>bubble</t>
  </si>
  <si>
    <t>methane %</t>
  </si>
  <si>
    <t>Cumulative  vol CH4
expelled
(L @STP)</t>
  </si>
  <si>
    <t>CH4 gas in system from expelled liquid
(L @STP)</t>
  </si>
  <si>
    <t>Total CH4 in system
(L @STP)</t>
  </si>
  <si>
    <t xml:space="preserve"> Total incremental vol CH4
expelled
(ml @STP)</t>
  </si>
  <si>
    <t>Incremental Chamber Volume Gas
(ml @STP)</t>
  </si>
  <si>
    <t>Incremental Bubble Volume Gas
(ml @STP)</t>
  </si>
  <si>
    <t>methane remaining in chamber</t>
  </si>
  <si>
    <t>Cumulative vol liquid expelled
(L)</t>
  </si>
  <si>
    <t>System compliance (26 or 90 ml) (L)</t>
  </si>
  <si>
    <t>for plot</t>
  </si>
  <si>
    <t>End P
(MPa)</t>
  </si>
  <si>
    <t>Blue</t>
  </si>
  <si>
    <t>First pressure rebound indicating dissociation</t>
  </si>
  <si>
    <t>Gas sample (tube #)</t>
  </si>
  <si>
    <t>#5</t>
  </si>
  <si>
    <t>#6</t>
  </si>
  <si>
    <t>#7</t>
  </si>
  <si>
    <t>#8</t>
  </si>
  <si>
    <t>#9</t>
  </si>
  <si>
    <t>#10</t>
  </si>
  <si>
    <t>C1/C2</t>
  </si>
  <si>
    <t>Elapsed time (hr)</t>
  </si>
  <si>
    <t>UT-GOM2-1-H005-13FB-1 5-18 cm</t>
  </si>
  <si>
    <t>Volume of expansion T (cu in)</t>
  </si>
  <si>
    <t>Volume of expansion T (mL)</t>
  </si>
  <si>
    <t>Gas sample volume</t>
  </si>
  <si>
    <t>#5ABC</t>
  </si>
  <si>
    <t>#6ABC</t>
  </si>
  <si>
    <t>#8ABC</t>
  </si>
  <si>
    <t>water level dropped</t>
  </si>
  <si>
    <t>#7ABC</t>
  </si>
  <si>
    <t>#9ABC</t>
  </si>
  <si>
    <t>#10ABC</t>
  </si>
  <si>
    <t>bag Z</t>
  </si>
  <si>
    <t>bag Y</t>
  </si>
  <si>
    <t>bag T</t>
  </si>
  <si>
    <t>#11</t>
  </si>
  <si>
    <t>#11ABC</t>
  </si>
  <si>
    <t>#12</t>
  </si>
  <si>
    <t>#12ABC</t>
  </si>
  <si>
    <t>#13</t>
  </si>
  <si>
    <t>#13ABC</t>
  </si>
  <si>
    <t>#14</t>
  </si>
  <si>
    <t>#14ABC</t>
  </si>
  <si>
    <t>#15</t>
  </si>
  <si>
    <t>#16</t>
  </si>
  <si>
    <t>#16ABC</t>
  </si>
  <si>
    <t>#15ABC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</si>
</sst>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0.0"/>
    <numFmt numFmtId="166" formatCode="0.0000"/>
  </numFmts>
  <fonts count="13" x14ac:knownFonts="1">
    <font>
      <sz val="10"/>
      <name val="Verdana"/>
    </font>
    <font>
      <b/>
      <sz val="10"/>
      <name val="Verdana"/>
      <family val="2"/>
    </font>
    <font>
      <u/>
      <sz val="10"/>
      <color theme="10"/>
      <name val="Verdana"/>
      <family val="2"/>
    </font>
    <font>
      <u/>
      <sz val="10"/>
      <color theme="11"/>
      <name val="Verdana"/>
      <family val="2"/>
    </font>
    <font>
      <b/>
      <sz val="14"/>
      <name val="Verdana"/>
      <family val="2"/>
    </font>
    <font>
      <sz val="14"/>
      <name val="Verdana"/>
      <family val="2"/>
    </font>
    <font>
      <sz val="10"/>
      <name val="Verdana"/>
      <family val="2"/>
    </font>
    <font>
      <b/>
      <sz val="12"/>
      <name val="Verdana"/>
      <family val="2"/>
    </font>
    <font>
      <sz val="12"/>
      <name val="Verdana"/>
      <family val="2"/>
    </font>
    <font>
      <sz val="12"/>
      <color theme="0" tint="-0.499984740745262"/>
      <name val="Verdana"/>
      <family val="2"/>
    </font>
    <font>
      <b/>
      <sz val="12"/>
      <color theme="9" tint="-0.499984740745262"/>
      <name val="Verdana"/>
      <family val="2"/>
    </font>
    <font>
      <sz val="12"/>
      <color theme="9" tint="-0.499984740745262"/>
      <name val="Verdana"/>
      <family val="2"/>
    </font>
    <font>
      <sz val="14"/>
      <color theme="9" tint="-0.499984740745262"/>
      <name val="Verdana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5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medium">
        <color auto="1"/>
      </top>
      <bottom/>
      <diagonal/>
    </border>
    <border>
      <left style="double">
        <color auto="1"/>
      </left>
      <right style="thin">
        <color auto="1"/>
      </right>
      <top/>
      <bottom style="medium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double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double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auto="1"/>
      </top>
      <bottom style="medium">
        <color auto="1"/>
      </bottom>
      <diagonal/>
    </border>
  </borders>
  <cellStyleXfs count="128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9" fontId="6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03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wrapText="1"/>
    </xf>
    <xf numFmtId="164" fontId="1" fillId="0" borderId="0" xfId="5" applyFont="1" applyAlignment="1">
      <alignment horizontal="center" wrapText="1"/>
    </xf>
    <xf numFmtId="1" fontId="1" fillId="0" borderId="0" xfId="0" applyNumberFormat="1" applyFont="1" applyAlignment="1">
      <alignment horizontal="center" wrapText="1"/>
    </xf>
    <xf numFmtId="0" fontId="6" fillId="0" borderId="0" xfId="0" applyFont="1"/>
    <xf numFmtId="0" fontId="0" fillId="0" borderId="0" xfId="0" applyAlignment="1">
      <alignment horizontal="center" wrapText="1"/>
    </xf>
    <xf numFmtId="0" fontId="8" fillId="0" borderId="18" xfId="0" applyFont="1" applyBorder="1" applyAlignment="1">
      <alignment horizontal="center" vertical="center"/>
    </xf>
    <xf numFmtId="14" fontId="8" fillId="0" borderId="22" xfId="0" applyNumberFormat="1" applyFont="1" applyBorder="1" applyAlignment="1">
      <alignment horizontal="center" vertical="center"/>
    </xf>
    <xf numFmtId="20" fontId="8" fillId="0" borderId="34" xfId="0" applyNumberFormat="1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8" fillId="0" borderId="19" xfId="0" applyFont="1" applyBorder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8" fillId="0" borderId="20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center"/>
    </xf>
    <xf numFmtId="0" fontId="8" fillId="0" borderId="21" xfId="0" applyFont="1" applyBorder="1" applyAlignment="1">
      <alignment vertical="center"/>
    </xf>
    <xf numFmtId="0" fontId="0" fillId="0" borderId="0" xfId="0" applyAlignment="1">
      <alignment vertical="center"/>
    </xf>
    <xf numFmtId="164" fontId="0" fillId="0" borderId="0" xfId="5" applyFont="1" applyAlignment="1">
      <alignment horizontal="center"/>
    </xf>
    <xf numFmtId="1" fontId="0" fillId="0" borderId="0" xfId="0" applyNumberFormat="1" applyAlignment="1">
      <alignment horizontal="center"/>
    </xf>
    <xf numFmtId="0" fontId="1" fillId="0" borderId="12" xfId="0" applyFont="1" applyBorder="1" applyAlignment="1">
      <alignment horizontal="center" wrapText="1"/>
    </xf>
    <xf numFmtId="164" fontId="1" fillId="0" borderId="4" xfId="5" applyFont="1" applyBorder="1" applyAlignment="1">
      <alignment horizontal="center" wrapText="1"/>
    </xf>
    <xf numFmtId="0" fontId="7" fillId="0" borderId="20" xfId="0" applyFont="1" applyBorder="1" applyAlignment="1">
      <alignment horizontal="center" vertical="center" wrapText="1"/>
    </xf>
    <xf numFmtId="1" fontId="1" fillId="0" borderId="12" xfId="0" applyNumberFormat="1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1" fontId="1" fillId="0" borderId="13" xfId="0" applyNumberFormat="1" applyFont="1" applyBorder="1" applyAlignment="1">
      <alignment horizontal="center" wrapText="1"/>
    </xf>
    <xf numFmtId="0" fontId="7" fillId="0" borderId="41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wrapText="1"/>
    </xf>
    <xf numFmtId="164" fontId="1" fillId="0" borderId="12" xfId="5" applyFont="1" applyBorder="1" applyAlignment="1">
      <alignment horizontal="center" wrapText="1"/>
    </xf>
    <xf numFmtId="0" fontId="1" fillId="0" borderId="43" xfId="0" applyFont="1" applyBorder="1" applyAlignment="1">
      <alignment horizontal="center" wrapText="1"/>
    </xf>
    <xf numFmtId="1" fontId="10" fillId="0" borderId="0" xfId="0" applyNumberFormat="1" applyFont="1" applyAlignment="1">
      <alignment horizontal="center" vertical="center"/>
    </xf>
    <xf numFmtId="0" fontId="7" fillId="3" borderId="24" xfId="0" applyFont="1" applyFill="1" applyBorder="1" applyAlignment="1">
      <alignment horizontal="center" vertical="center" wrapText="1"/>
    </xf>
    <xf numFmtId="0" fontId="7" fillId="3" borderId="31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1" fontId="11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1" fontId="11" fillId="0" borderId="0" xfId="5" applyNumberFormat="1" applyFont="1" applyAlignment="1">
      <alignment horizontal="center" vertical="center"/>
    </xf>
    <xf numFmtId="2" fontId="11" fillId="0" borderId="0" xfId="0" applyNumberFormat="1" applyFont="1" applyAlignment="1">
      <alignment horizontal="center" vertical="center"/>
    </xf>
    <xf numFmtId="164" fontId="1" fillId="0" borderId="3" xfId="5" applyFont="1" applyBorder="1" applyAlignment="1">
      <alignment horizontal="center" wrapText="1"/>
    </xf>
    <xf numFmtId="0" fontId="12" fillId="0" borderId="13" xfId="0" applyFont="1" applyBorder="1" applyAlignment="1">
      <alignment horizontal="center" vertical="center" wrapText="1"/>
    </xf>
    <xf numFmtId="164" fontId="1" fillId="0" borderId="43" xfId="5" applyFont="1" applyBorder="1" applyAlignment="1">
      <alignment horizontal="center" wrapText="1"/>
    </xf>
    <xf numFmtId="165" fontId="11" fillId="0" borderId="0" xfId="5" applyNumberFormat="1" applyFont="1" applyAlignment="1">
      <alignment horizontal="center" vertical="center"/>
    </xf>
    <xf numFmtId="165" fontId="8" fillId="0" borderId="0" xfId="0" applyNumberFormat="1" applyFont="1" applyAlignment="1">
      <alignment horizontal="center" vertical="center"/>
    </xf>
    <xf numFmtId="166" fontId="11" fillId="0" borderId="0" xfId="0" applyNumberFormat="1" applyFont="1" applyAlignment="1">
      <alignment horizontal="center" vertical="center"/>
    </xf>
    <xf numFmtId="0" fontId="0" fillId="5" borderId="0" xfId="0" applyFill="1"/>
    <xf numFmtId="0" fontId="0" fillId="6" borderId="0" xfId="0" applyFill="1"/>
    <xf numFmtId="0" fontId="0" fillId="0" borderId="47" xfId="0" applyBorder="1"/>
    <xf numFmtId="0" fontId="1" fillId="0" borderId="48" xfId="0" applyFont="1" applyBorder="1" applyAlignment="1">
      <alignment horizontal="center" wrapText="1"/>
    </xf>
    <xf numFmtId="165" fontId="8" fillId="0" borderId="29" xfId="0" applyNumberFormat="1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 wrapText="1"/>
    </xf>
    <xf numFmtId="0" fontId="5" fillId="0" borderId="49" xfId="0" applyFont="1" applyBorder="1" applyAlignment="1">
      <alignment horizontal="center" vertical="center" wrapText="1"/>
    </xf>
    <xf numFmtId="0" fontId="8" fillId="7" borderId="2" xfId="0" applyFont="1" applyFill="1" applyBorder="1" applyAlignment="1">
      <alignment horizontal="center" vertical="center" wrapText="1"/>
    </xf>
    <xf numFmtId="0" fontId="8" fillId="7" borderId="1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36" xfId="0" applyFont="1" applyFill="1" applyBorder="1" applyAlignment="1">
      <alignment horizontal="center" vertical="center" wrapText="1"/>
    </xf>
    <xf numFmtId="0" fontId="7" fillId="3" borderId="37" xfId="0" applyFont="1" applyFill="1" applyBorder="1" applyAlignment="1">
      <alignment horizontal="center" vertical="center" wrapText="1"/>
    </xf>
    <xf numFmtId="0" fontId="7" fillId="3" borderId="38" xfId="0" applyFont="1" applyFill="1" applyBorder="1" applyAlignment="1">
      <alignment horizontal="center" vertical="center" wrapText="1"/>
    </xf>
    <xf numFmtId="0" fontId="1" fillId="4" borderId="14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1" fillId="4" borderId="23" xfId="0" applyFont="1" applyFill="1" applyBorder="1" applyAlignment="1">
      <alignment horizontal="center"/>
    </xf>
    <xf numFmtId="0" fontId="7" fillId="3" borderId="7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7" fillId="3" borderId="32" xfId="0" applyFont="1" applyFill="1" applyBorder="1" applyAlignment="1">
      <alignment horizontal="center" vertical="center" wrapText="1"/>
    </xf>
    <xf numFmtId="0" fontId="7" fillId="3" borderId="33" xfId="0" applyFont="1" applyFill="1" applyBorder="1" applyAlignment="1">
      <alignment horizontal="center" vertical="center" wrapText="1"/>
    </xf>
    <xf numFmtId="0" fontId="7" fillId="3" borderId="24" xfId="0" applyFont="1" applyFill="1" applyBorder="1" applyAlignment="1">
      <alignment horizontal="center" vertical="center"/>
    </xf>
    <xf numFmtId="0" fontId="7" fillId="3" borderId="25" xfId="0" applyFont="1" applyFill="1" applyBorder="1" applyAlignment="1">
      <alignment horizontal="center" vertical="center"/>
    </xf>
    <xf numFmtId="0" fontId="7" fillId="3" borderId="27" xfId="0" applyFont="1" applyFill="1" applyBorder="1" applyAlignment="1">
      <alignment horizontal="center" vertical="center" wrapText="1"/>
    </xf>
    <xf numFmtId="0" fontId="7" fillId="3" borderId="28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4" fillId="3" borderId="43" xfId="0" applyFont="1" applyFill="1" applyBorder="1" applyAlignment="1">
      <alignment horizontal="center" vertical="center" wrapText="1"/>
    </xf>
    <xf numFmtId="0" fontId="4" fillId="3" borderId="39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  <xf numFmtId="16" fontId="5" fillId="0" borderId="24" xfId="0" applyNumberFormat="1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40" xfId="0" applyFont="1" applyBorder="1" applyAlignment="1">
      <alignment horizontal="center" vertical="center" wrapText="1"/>
    </xf>
    <xf numFmtId="0" fontId="4" fillId="3" borderId="37" xfId="0" applyFont="1" applyFill="1" applyBorder="1" applyAlignment="1">
      <alignment horizontal="center" vertical="center" wrapText="1"/>
    </xf>
    <xf numFmtId="0" fontId="7" fillId="0" borderId="44" xfId="0" applyFont="1" applyBorder="1" applyAlignment="1">
      <alignment horizontal="center" vertical="center" wrapText="1"/>
    </xf>
    <xf numFmtId="0" fontId="7" fillId="0" borderId="46" xfId="0" applyFont="1" applyBorder="1" applyAlignment="1">
      <alignment horizontal="center" vertical="center" wrapText="1"/>
    </xf>
    <xf numFmtId="0" fontId="7" fillId="0" borderId="45" xfId="0" applyFont="1" applyBorder="1" applyAlignment="1">
      <alignment horizontal="center" vertical="center" wrapText="1"/>
    </xf>
    <xf numFmtId="0" fontId="7" fillId="0" borderId="39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7" fillId="0" borderId="37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</cellXfs>
  <cellStyles count="128">
    <cellStyle name="Comma" xfId="5" builtinId="3"/>
    <cellStyle name="Followed Hyperlink" xfId="2" builtinId="9" hidden="1"/>
    <cellStyle name="Followed Hyperlink" xfId="4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1" builtinId="9" hidden="1"/>
    <cellStyle name="Followed Hyperlink" xfId="103" builtinId="9" hidden="1"/>
    <cellStyle name="Followed Hyperlink" xfId="105" builtinId="9" hidden="1"/>
    <cellStyle name="Followed Hyperlink" xfId="107" builtinId="9" hidden="1"/>
    <cellStyle name="Followed Hyperlink" xfId="109" builtinId="9" hidden="1"/>
    <cellStyle name="Followed Hyperlink" xfId="111" builtinId="9" hidden="1"/>
    <cellStyle name="Followed Hyperlink" xfId="113" builtinId="9" hidden="1"/>
    <cellStyle name="Followed Hyperlink" xfId="115" builtinId="9" hidden="1"/>
    <cellStyle name="Followed Hyperlink" xfId="117" builtinId="9" hidden="1"/>
    <cellStyle name="Followed Hyperlink" xfId="119" builtinId="9" hidden="1"/>
    <cellStyle name="Followed Hyperlink" xfId="121" builtinId="9" hidden="1"/>
    <cellStyle name="Followed Hyperlink" xfId="123" builtinId="9" hidden="1"/>
    <cellStyle name="Followed Hyperlink" xfId="125" builtinId="9" hidden="1"/>
    <cellStyle name="Followed Hyperlink" xfId="127" builtinId="9" hidden="1"/>
    <cellStyle name="Hyperlink" xfId="1" builtinId="8" hidden="1"/>
    <cellStyle name="Hyperlink" xfId="3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00" builtinId="8" hidden="1"/>
    <cellStyle name="Hyperlink" xfId="102" builtinId="8" hidden="1"/>
    <cellStyle name="Hyperlink" xfId="104" builtinId="8" hidden="1"/>
    <cellStyle name="Hyperlink" xfId="106" builtinId="8" hidden="1"/>
    <cellStyle name="Hyperlink" xfId="108" builtinId="8" hidden="1"/>
    <cellStyle name="Hyperlink" xfId="110" builtinId="8" hidden="1"/>
    <cellStyle name="Hyperlink" xfId="112" builtinId="8" hidden="1"/>
    <cellStyle name="Hyperlink" xfId="114" builtinId="8" hidden="1"/>
    <cellStyle name="Hyperlink" xfId="116" builtinId="8" hidden="1"/>
    <cellStyle name="Hyperlink" xfId="118" builtinId="8" hidden="1"/>
    <cellStyle name="Hyperlink" xfId="120" builtinId="8" hidden="1"/>
    <cellStyle name="Hyperlink" xfId="122" builtinId="8" hidden="1"/>
    <cellStyle name="Hyperlink" xfId="124" builtinId="8" hidden="1"/>
    <cellStyle name="Hyperlink" xfId="126" builtinId="8" hidden="1"/>
    <cellStyle name="Normal" xfId="0" builtinId="0"/>
    <cellStyle name="Normal 2" xfId="6" xr:uid="{00000000-0005-0000-0000-00007E000000}"/>
    <cellStyle name="Percent 2" xfId="87" xr:uid="{00000000-0005-0000-0000-00007F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7424208144796"/>
          <c:y val="0.12638516260162599"/>
          <c:w val="0.77786488185017588"/>
          <c:h val="0.76929257858515698"/>
        </c:manualLayout>
      </c:layout>
      <c:scatterChart>
        <c:scatterStyle val="lineMarker"/>
        <c:varyColors val="0"/>
        <c:ser>
          <c:idx val="1"/>
          <c:order val="0"/>
          <c:tx>
            <c:strRef>
              <c:f>'UT-GOM2-1-H005-6FB-2 21.5-41.5'!$V$4</c:f>
              <c:strCache>
                <c:ptCount val="1"/>
                <c:pt idx="0">
                  <c:v>expelled methane</c:v>
                </c:pt>
              </c:strCache>
            </c:strRef>
          </c:tx>
          <c:spPr>
            <a:ln w="25400">
              <a:solidFill>
                <a:srgbClr val="00B050"/>
              </a:solidFill>
              <a:prstDash val="solid"/>
            </a:ln>
          </c:spPr>
          <c:marker>
            <c:symbol val="circle"/>
            <c:size val="8"/>
            <c:spPr>
              <a:solidFill>
                <a:srgbClr val="00B050"/>
              </a:solidFill>
              <a:ln>
                <a:solidFill>
                  <a:srgbClr val="00B050"/>
                </a:solidFill>
                <a:prstDash val="solid"/>
              </a:ln>
            </c:spPr>
          </c:marker>
          <c:xVal>
            <c:numRef>
              <c:f>'UT-GOM2-1-H005-6FB-2 21.5-41.5'!$W$6:$W$500</c:f>
              <c:numCache>
                <c:formatCode>0.00</c:formatCode>
                <c:ptCount val="49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7.7311721290322613E-2</c:v>
                </c:pt>
                <c:pt idx="20">
                  <c:v>0.71323577059472132</c:v>
                </c:pt>
                <c:pt idx="21">
                  <c:v>1.447697122852786</c:v>
                </c:pt>
                <c:pt idx="22">
                  <c:v>2.0246885555190617</c:v>
                </c:pt>
                <c:pt idx="23">
                  <c:v>2.7446539600351909</c:v>
                </c:pt>
                <c:pt idx="24">
                  <c:v>3.6095788419706749</c:v>
                </c:pt>
                <c:pt idx="25">
                  <c:v>4.2363660514862174</c:v>
                </c:pt>
                <c:pt idx="26">
                  <c:v>4.9965511219190617</c:v>
                </c:pt>
                <c:pt idx="27">
                  <c:v>5.7793322999835777</c:v>
                </c:pt>
                <c:pt idx="28">
                  <c:v>6.5449994742897362</c:v>
                </c:pt>
                <c:pt idx="29">
                  <c:v>7.4050923736445746</c:v>
                </c:pt>
                <c:pt idx="30">
                  <c:v>7.4050923736445746</c:v>
                </c:pt>
                <c:pt idx="31">
                  <c:v>8.3231690639671552</c:v>
                </c:pt>
                <c:pt idx="32">
                  <c:v>8.9426468016516125</c:v>
                </c:pt>
                <c:pt idx="33">
                  <c:v>9.7350919448774196</c:v>
                </c:pt>
                <c:pt idx="34">
                  <c:v>10.217517085729032</c:v>
                </c:pt>
                <c:pt idx="35">
                  <c:v>11.053450072180645</c:v>
                </c:pt>
                <c:pt idx="36">
                  <c:v>11.402477352114957</c:v>
                </c:pt>
                <c:pt idx="37">
                  <c:v>12.277066199211731</c:v>
                </c:pt>
                <c:pt idx="38">
                  <c:v>12.551856655861584</c:v>
                </c:pt>
                <c:pt idx="39">
                  <c:v>13.489261276506745</c:v>
                </c:pt>
                <c:pt idx="40">
                  <c:v>13.642303342970088</c:v>
                </c:pt>
                <c:pt idx="41">
                  <c:v>15.014586395873314</c:v>
                </c:pt>
                <c:pt idx="42">
                  <c:v>15.014586395873314</c:v>
                </c:pt>
                <c:pt idx="43">
                  <c:v>15.198201733937831</c:v>
                </c:pt>
                <c:pt idx="44">
                  <c:v>15.198201733937831</c:v>
                </c:pt>
                <c:pt idx="45">
                  <c:v>15.198201733937831</c:v>
                </c:pt>
                <c:pt idx="46">
                  <c:v>15.198201733937831</c:v>
                </c:pt>
                <c:pt idx="47">
                  <c:v>15.198201733937831</c:v>
                </c:pt>
                <c:pt idx="48">
                  <c:v>15.198201733937831</c:v>
                </c:pt>
                <c:pt idx="49">
                  <c:v>15.198201733937831</c:v>
                </c:pt>
                <c:pt idx="50">
                  <c:v>15.198201733937831</c:v>
                </c:pt>
                <c:pt idx="51">
                  <c:v>15.198201733937831</c:v>
                </c:pt>
                <c:pt idx="52">
                  <c:v>15.198201733937831</c:v>
                </c:pt>
                <c:pt idx="53">
                  <c:v>15.198201733937831</c:v>
                </c:pt>
                <c:pt idx="54">
                  <c:v>15.198201733937831</c:v>
                </c:pt>
                <c:pt idx="55">
                  <c:v>15.198201733937831</c:v>
                </c:pt>
                <c:pt idx="56">
                  <c:v>15.198201733937831</c:v>
                </c:pt>
                <c:pt idx="57">
                  <c:v>15.198201733937831</c:v>
                </c:pt>
                <c:pt idx="58">
                  <c:v>15.198201733937831</c:v>
                </c:pt>
                <c:pt idx="59">
                  <c:v>15.198201733937831</c:v>
                </c:pt>
                <c:pt idx="60">
                  <c:v>15.198201733937831</c:v>
                </c:pt>
                <c:pt idx="61">
                  <c:v>15.198201733937831</c:v>
                </c:pt>
                <c:pt idx="62">
                  <c:v>15.198201733937831</c:v>
                </c:pt>
                <c:pt idx="63">
                  <c:v>15.198201733937831</c:v>
                </c:pt>
                <c:pt idx="64">
                  <c:v>15.198201733937831</c:v>
                </c:pt>
                <c:pt idx="65">
                  <c:v>15.198201733937831</c:v>
                </c:pt>
                <c:pt idx="66">
                  <c:v>15.198201733937831</c:v>
                </c:pt>
                <c:pt idx="67">
                  <c:v>15.198201733937831</c:v>
                </c:pt>
                <c:pt idx="68">
                  <c:v>15.198201733937831</c:v>
                </c:pt>
                <c:pt idx="69">
                  <c:v>15.198201733937831</c:v>
                </c:pt>
                <c:pt idx="70">
                  <c:v>15.198201733937831</c:v>
                </c:pt>
                <c:pt idx="71">
                  <c:v>15.198201733937831</c:v>
                </c:pt>
                <c:pt idx="72">
                  <c:v>15.198201733937831</c:v>
                </c:pt>
                <c:pt idx="73">
                  <c:v>15.198201733937831</c:v>
                </c:pt>
                <c:pt idx="74">
                  <c:v>15.198201733937831</c:v>
                </c:pt>
                <c:pt idx="75">
                  <c:v>15.198201733937831</c:v>
                </c:pt>
                <c:pt idx="76">
                  <c:v>15.198201733937831</c:v>
                </c:pt>
                <c:pt idx="77">
                  <c:v>15.198201733937831</c:v>
                </c:pt>
                <c:pt idx="78">
                  <c:v>15.198201733937831</c:v>
                </c:pt>
                <c:pt idx="79">
                  <c:v>15.198201733937831</c:v>
                </c:pt>
                <c:pt idx="80">
                  <c:v>15.198201733937831</c:v>
                </c:pt>
                <c:pt idx="81">
                  <c:v>15.198201733937831</c:v>
                </c:pt>
                <c:pt idx="82">
                  <c:v>15.198201733937831</c:v>
                </c:pt>
                <c:pt idx="83">
                  <c:v>15.198201733937831</c:v>
                </c:pt>
                <c:pt idx="84">
                  <c:v>15.198201733937831</c:v>
                </c:pt>
                <c:pt idx="85">
                  <c:v>15.198201733937831</c:v>
                </c:pt>
                <c:pt idx="86">
                  <c:v>15.198201733937831</c:v>
                </c:pt>
                <c:pt idx="87">
                  <c:v>15.198201733937831</c:v>
                </c:pt>
                <c:pt idx="88">
                  <c:v>15.198201733937831</c:v>
                </c:pt>
                <c:pt idx="89">
                  <c:v>15.198201733937831</c:v>
                </c:pt>
                <c:pt idx="90">
                  <c:v>15.198201733937831</c:v>
                </c:pt>
              </c:numCache>
            </c:numRef>
          </c:xVal>
          <c:yVal>
            <c:numRef>
              <c:f>'UT-GOM2-1-H005-6FB-2 21.5-41.5'!$AC$6:$AC$500</c:f>
              <c:numCache>
                <c:formatCode>0.0</c:formatCode>
                <c:ptCount val="495"/>
                <c:pt idx="0">
                  <c:v>24.3</c:v>
                </c:pt>
                <c:pt idx="1">
                  <c:v>19.2</c:v>
                </c:pt>
                <c:pt idx="2">
                  <c:v>19.2</c:v>
                </c:pt>
                <c:pt idx="3">
                  <c:v>9.6</c:v>
                </c:pt>
                <c:pt idx="4">
                  <c:v>7.6400000000000006</c:v>
                </c:pt>
                <c:pt idx="5">
                  <c:v>6.15</c:v>
                </c:pt>
                <c:pt idx="6">
                  <c:v>5.32</c:v>
                </c:pt>
                <c:pt idx="7">
                  <c:v>4.87</c:v>
                </c:pt>
                <c:pt idx="8">
                  <c:v>4.5299999999999994</c:v>
                </c:pt>
                <c:pt idx="9">
                  <c:v>4.32</c:v>
                </c:pt>
                <c:pt idx="10">
                  <c:v>4.51</c:v>
                </c:pt>
                <c:pt idx="11">
                  <c:v>4.91</c:v>
                </c:pt>
                <c:pt idx="12">
                  <c:v>4.4700000000000006</c:v>
                </c:pt>
                <c:pt idx="13">
                  <c:v>3.5799999999999996</c:v>
                </c:pt>
                <c:pt idx="14">
                  <c:v>3.85</c:v>
                </c:pt>
                <c:pt idx="15">
                  <c:v>4.8</c:v>
                </c:pt>
                <c:pt idx="16">
                  <c:v>3.71</c:v>
                </c:pt>
                <c:pt idx="17">
                  <c:v>3.63</c:v>
                </c:pt>
                <c:pt idx="18">
                  <c:v>3.44</c:v>
                </c:pt>
                <c:pt idx="19">
                  <c:v>3.9200000000000004</c:v>
                </c:pt>
                <c:pt idx="20">
                  <c:v>4.6399999999999997</c:v>
                </c:pt>
                <c:pt idx="21">
                  <c:v>4.1100000000000003</c:v>
                </c:pt>
                <c:pt idx="22">
                  <c:v>4.21</c:v>
                </c:pt>
                <c:pt idx="23">
                  <c:v>3.6700000000000004</c:v>
                </c:pt>
                <c:pt idx="24">
                  <c:v>3.56</c:v>
                </c:pt>
                <c:pt idx="25">
                  <c:v>3.4299999999999997</c:v>
                </c:pt>
                <c:pt idx="26">
                  <c:v>4.16</c:v>
                </c:pt>
                <c:pt idx="27">
                  <c:v>3.69</c:v>
                </c:pt>
                <c:pt idx="28">
                  <c:v>4.1899999999999995</c:v>
                </c:pt>
                <c:pt idx="29">
                  <c:v>3.6700000000000004</c:v>
                </c:pt>
                <c:pt idx="30">
                  <c:v>3.87</c:v>
                </c:pt>
                <c:pt idx="31">
                  <c:v>3.34</c:v>
                </c:pt>
                <c:pt idx="32">
                  <c:v>3.3899999999999997</c:v>
                </c:pt>
                <c:pt idx="33">
                  <c:v>2.88</c:v>
                </c:pt>
                <c:pt idx="34">
                  <c:v>2.6399999999999997</c:v>
                </c:pt>
                <c:pt idx="35">
                  <c:v>1.97</c:v>
                </c:pt>
                <c:pt idx="36">
                  <c:v>1.9100000000000001</c:v>
                </c:pt>
                <c:pt idx="37">
                  <c:v>1.7399999999999998</c:v>
                </c:pt>
                <c:pt idx="38">
                  <c:v>1.2029999999999998</c:v>
                </c:pt>
                <c:pt idx="39">
                  <c:v>0.67</c:v>
                </c:pt>
                <c:pt idx="40">
                  <c:v>0.67</c:v>
                </c:pt>
                <c:pt idx="41">
                  <c:v>0.01</c:v>
                </c:pt>
                <c:pt idx="42">
                  <c:v>0</c:v>
                </c:pt>
                <c:pt idx="43">
                  <c:v>-0.02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F10-4A0F-B12B-C6412947DA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7519248"/>
        <c:axId val="297519808"/>
      </c:scatterChart>
      <c:scatterChart>
        <c:scatterStyle val="lineMarker"/>
        <c:varyColors val="0"/>
        <c:ser>
          <c:idx val="0"/>
          <c:order val="1"/>
          <c:tx>
            <c:v>C1/C2</c:v>
          </c:tx>
          <c:marker>
            <c:symbol val="diamond"/>
            <c:size val="10"/>
            <c:spPr>
              <a:solidFill>
                <a:srgbClr val="FF0000"/>
              </a:solidFill>
              <a:ln>
                <a:solidFill>
                  <a:srgbClr val="C00000"/>
                </a:solidFill>
              </a:ln>
            </c:spPr>
          </c:marker>
          <c:xVal>
            <c:numRef>
              <c:f>'UT-GOM2-1-H005-6FB-2 21.5-41.5'!$W$6:$W$96</c:f>
              <c:numCache>
                <c:formatCode>0.00</c:formatCode>
                <c:ptCount val="9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7.7311721290322613E-2</c:v>
                </c:pt>
                <c:pt idx="20">
                  <c:v>0.71323577059472132</c:v>
                </c:pt>
                <c:pt idx="21">
                  <c:v>1.447697122852786</c:v>
                </c:pt>
                <c:pt idx="22">
                  <c:v>2.0246885555190617</c:v>
                </c:pt>
                <c:pt idx="23">
                  <c:v>2.7446539600351909</c:v>
                </c:pt>
                <c:pt idx="24">
                  <c:v>3.6095788419706749</c:v>
                </c:pt>
                <c:pt idx="25">
                  <c:v>4.2363660514862174</c:v>
                </c:pt>
                <c:pt idx="26">
                  <c:v>4.9965511219190617</c:v>
                </c:pt>
                <c:pt idx="27">
                  <c:v>5.7793322999835777</c:v>
                </c:pt>
                <c:pt idx="28">
                  <c:v>6.5449994742897362</c:v>
                </c:pt>
                <c:pt idx="29">
                  <c:v>7.4050923736445746</c:v>
                </c:pt>
                <c:pt idx="30">
                  <c:v>7.4050923736445746</c:v>
                </c:pt>
                <c:pt idx="31">
                  <c:v>8.3231690639671552</c:v>
                </c:pt>
                <c:pt idx="32">
                  <c:v>8.9426468016516125</c:v>
                </c:pt>
                <c:pt idx="33">
                  <c:v>9.7350919448774196</c:v>
                </c:pt>
                <c:pt idx="34">
                  <c:v>10.217517085729032</c:v>
                </c:pt>
                <c:pt idx="35">
                  <c:v>11.053450072180645</c:v>
                </c:pt>
                <c:pt idx="36">
                  <c:v>11.402477352114957</c:v>
                </c:pt>
                <c:pt idx="37">
                  <c:v>12.277066199211731</c:v>
                </c:pt>
                <c:pt idx="38">
                  <c:v>12.551856655861584</c:v>
                </c:pt>
                <c:pt idx="39">
                  <c:v>13.489261276506745</c:v>
                </c:pt>
                <c:pt idx="40">
                  <c:v>13.642303342970088</c:v>
                </c:pt>
                <c:pt idx="41">
                  <c:v>15.014586395873314</c:v>
                </c:pt>
                <c:pt idx="42">
                  <c:v>15.014586395873314</c:v>
                </c:pt>
                <c:pt idx="43">
                  <c:v>15.198201733937831</c:v>
                </c:pt>
                <c:pt idx="44">
                  <c:v>15.198201733937831</c:v>
                </c:pt>
                <c:pt idx="45">
                  <c:v>15.198201733937831</c:v>
                </c:pt>
                <c:pt idx="46">
                  <c:v>15.198201733937831</c:v>
                </c:pt>
                <c:pt idx="47">
                  <c:v>15.198201733937831</c:v>
                </c:pt>
                <c:pt idx="48">
                  <c:v>15.198201733937831</c:v>
                </c:pt>
                <c:pt idx="49">
                  <c:v>15.198201733937831</c:v>
                </c:pt>
                <c:pt idx="50">
                  <c:v>15.198201733937831</c:v>
                </c:pt>
                <c:pt idx="51">
                  <c:v>15.198201733937831</c:v>
                </c:pt>
                <c:pt idx="52">
                  <c:v>15.198201733937831</c:v>
                </c:pt>
                <c:pt idx="53">
                  <c:v>15.198201733937831</c:v>
                </c:pt>
                <c:pt idx="54">
                  <c:v>15.198201733937831</c:v>
                </c:pt>
                <c:pt idx="55">
                  <c:v>15.198201733937831</c:v>
                </c:pt>
                <c:pt idx="56">
                  <c:v>15.198201733937831</c:v>
                </c:pt>
                <c:pt idx="57">
                  <c:v>15.198201733937831</c:v>
                </c:pt>
                <c:pt idx="58">
                  <c:v>15.198201733937831</c:v>
                </c:pt>
                <c:pt idx="59">
                  <c:v>15.198201733937831</c:v>
                </c:pt>
                <c:pt idx="60">
                  <c:v>15.198201733937831</c:v>
                </c:pt>
                <c:pt idx="61">
                  <c:v>15.198201733937831</c:v>
                </c:pt>
                <c:pt idx="62">
                  <c:v>15.198201733937831</c:v>
                </c:pt>
                <c:pt idx="63">
                  <c:v>15.198201733937831</c:v>
                </c:pt>
                <c:pt idx="64">
                  <c:v>15.198201733937831</c:v>
                </c:pt>
                <c:pt idx="65">
                  <c:v>15.198201733937831</c:v>
                </c:pt>
                <c:pt idx="66">
                  <c:v>15.198201733937831</c:v>
                </c:pt>
                <c:pt idx="67">
                  <c:v>15.198201733937831</c:v>
                </c:pt>
                <c:pt idx="68">
                  <c:v>15.198201733937831</c:v>
                </c:pt>
                <c:pt idx="69">
                  <c:v>15.198201733937831</c:v>
                </c:pt>
                <c:pt idx="70">
                  <c:v>15.198201733937831</c:v>
                </c:pt>
                <c:pt idx="71">
                  <c:v>15.198201733937831</c:v>
                </c:pt>
                <c:pt idx="72">
                  <c:v>15.198201733937831</c:v>
                </c:pt>
                <c:pt idx="73">
                  <c:v>15.198201733937831</c:v>
                </c:pt>
                <c:pt idx="74">
                  <c:v>15.198201733937831</c:v>
                </c:pt>
                <c:pt idx="75">
                  <c:v>15.198201733937831</c:v>
                </c:pt>
                <c:pt idx="76">
                  <c:v>15.198201733937831</c:v>
                </c:pt>
                <c:pt idx="77">
                  <c:v>15.198201733937831</c:v>
                </c:pt>
                <c:pt idx="78">
                  <c:v>15.198201733937831</c:v>
                </c:pt>
                <c:pt idx="79">
                  <c:v>15.198201733937831</c:v>
                </c:pt>
                <c:pt idx="80">
                  <c:v>15.198201733937831</c:v>
                </c:pt>
                <c:pt idx="81">
                  <c:v>15.198201733937831</c:v>
                </c:pt>
                <c:pt idx="82">
                  <c:v>15.198201733937831</c:v>
                </c:pt>
                <c:pt idx="83">
                  <c:v>15.198201733937831</c:v>
                </c:pt>
                <c:pt idx="84">
                  <c:v>15.198201733937831</c:v>
                </c:pt>
                <c:pt idx="85">
                  <c:v>15.198201733937831</c:v>
                </c:pt>
                <c:pt idx="86">
                  <c:v>15.198201733937831</c:v>
                </c:pt>
                <c:pt idx="87">
                  <c:v>15.198201733937831</c:v>
                </c:pt>
                <c:pt idx="88">
                  <c:v>15.198201733937831</c:v>
                </c:pt>
                <c:pt idx="89">
                  <c:v>15.198201733937831</c:v>
                </c:pt>
                <c:pt idx="90">
                  <c:v>15.198201733937831</c:v>
                </c:pt>
              </c:numCache>
            </c:numRef>
          </c:xVal>
          <c:yVal>
            <c:numRef>
              <c:f>'UT-GOM2-1-H005-6FB-2 21.5-41.5'!$AE$6:$AE$96</c:f>
              <c:numCache>
                <c:formatCode>General</c:formatCode>
                <c:ptCount val="91"/>
                <c:pt idx="57">
                  <c:v>10909.796518434017</c:v>
                </c:pt>
                <c:pt idx="61">
                  <c:v>10767.068995859552</c:v>
                </c:pt>
                <c:pt idx="63">
                  <c:v>10136.339871782975</c:v>
                </c:pt>
                <c:pt idx="65">
                  <c:v>10258.598862406445</c:v>
                </c:pt>
                <c:pt idx="69">
                  <c:v>8823.8843626836551</c:v>
                </c:pt>
                <c:pt idx="73">
                  <c:v>7717.4186796665708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F10-4A0F-B12B-C6412947DA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7520928"/>
        <c:axId val="297520368"/>
      </c:scatterChart>
      <c:valAx>
        <c:axId val="297519248"/>
        <c:scaling>
          <c:orientation val="minMax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400" baseline="0"/>
                  <a:t>Released CH</a:t>
                </a:r>
                <a:r>
                  <a:rPr lang="en-US" sz="1400" baseline="-25000"/>
                  <a:t>4</a:t>
                </a:r>
                <a:r>
                  <a:rPr lang="en-US" sz="1400" baseline="0"/>
                  <a:t> @ STP (L)</a:t>
                </a:r>
              </a:p>
            </c:rich>
          </c:tx>
          <c:layout>
            <c:manualLayout>
              <c:xMode val="edge"/>
              <c:yMode val="edge"/>
              <c:x val="0.41233031674208098"/>
              <c:y val="0.9517440718157179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97519808"/>
        <c:crosses val="autoZero"/>
        <c:crossBetween val="midCat"/>
        <c:minorUnit val="1"/>
      </c:valAx>
      <c:valAx>
        <c:axId val="297519808"/>
        <c:scaling>
          <c:orientation val="minMax"/>
          <c:max val="20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B05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400" baseline="0">
                    <a:solidFill>
                      <a:srgbClr val="00B050"/>
                    </a:solidFill>
                  </a:rPr>
                  <a:t>Pressure (MPa)</a:t>
                </a:r>
              </a:p>
            </c:rich>
          </c:tx>
          <c:layout>
            <c:manualLayout>
              <c:xMode val="edge"/>
              <c:yMode val="edge"/>
              <c:x val="1.26675465057818E-2"/>
              <c:y val="0.4061353319783200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97519248"/>
        <c:crosses val="autoZero"/>
        <c:crossBetween val="midCat"/>
      </c:valAx>
      <c:valAx>
        <c:axId val="297520368"/>
        <c:scaling>
          <c:orientation val="minMax"/>
          <c:min val="6000"/>
        </c:scaling>
        <c:delete val="0"/>
        <c:axPos val="r"/>
        <c:title>
          <c:tx>
            <c:rich>
              <a:bodyPr rot="5400000" vert="horz"/>
              <a:lstStyle/>
              <a:p>
                <a:pPr>
                  <a:defRPr sz="1400" b="1">
                    <a:solidFill>
                      <a:srgbClr val="FF0000"/>
                    </a:solidFill>
                  </a:defRPr>
                </a:pPr>
                <a:r>
                  <a:rPr lang="en-US" sz="1400" b="1">
                    <a:solidFill>
                      <a:srgbClr val="FF0000"/>
                    </a:solidFill>
                  </a:rPr>
                  <a:t>C1/C2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400" b="0"/>
            </a:pPr>
            <a:endParaRPr lang="en-US"/>
          </a:p>
        </c:txPr>
        <c:crossAx val="297520928"/>
        <c:crosses val="max"/>
        <c:crossBetween val="midCat"/>
      </c:valAx>
      <c:valAx>
        <c:axId val="297520928"/>
        <c:scaling>
          <c:orientation val="minMax"/>
        </c:scaling>
        <c:delete val="1"/>
        <c:axPos val="b"/>
        <c:numFmt formatCode="0.00" sourceLinked="1"/>
        <c:majorTickMark val="out"/>
        <c:minorTickMark val="none"/>
        <c:tickLblPos val="nextTo"/>
        <c:crossAx val="297520368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" r="0.75" t="1" header="0.5" footer="0.5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7424208144796"/>
          <c:y val="0.12638516260162599"/>
          <c:w val="0.77786488185017588"/>
          <c:h val="0.76929257858515698"/>
        </c:manualLayout>
      </c:layout>
      <c:scatterChart>
        <c:scatterStyle val="lineMarker"/>
        <c:varyColors val="0"/>
        <c:ser>
          <c:idx val="1"/>
          <c:order val="0"/>
          <c:tx>
            <c:strRef>
              <c:f>'UT-GOM2-1-H005-6FB-2 21.5-41.5'!$V$4</c:f>
              <c:strCache>
                <c:ptCount val="1"/>
                <c:pt idx="0">
                  <c:v>expelled methane</c:v>
                </c:pt>
              </c:strCache>
            </c:strRef>
          </c:tx>
          <c:spPr>
            <a:ln w="25400">
              <a:solidFill>
                <a:srgbClr val="00B050"/>
              </a:solidFill>
              <a:prstDash val="solid"/>
            </a:ln>
          </c:spPr>
          <c:marker>
            <c:symbol val="circle"/>
            <c:size val="8"/>
            <c:spPr>
              <a:solidFill>
                <a:srgbClr val="00B050"/>
              </a:solidFill>
              <a:ln>
                <a:solidFill>
                  <a:srgbClr val="00B050"/>
                </a:solidFill>
                <a:prstDash val="solid"/>
              </a:ln>
            </c:spPr>
          </c:marker>
          <c:xVal>
            <c:numRef>
              <c:f>'UT-GOM2-1-H005-6FB-2 21.5-41.5'!$W$6:$W$500</c:f>
              <c:numCache>
                <c:formatCode>0.00</c:formatCode>
                <c:ptCount val="49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7.7311721290322613E-2</c:v>
                </c:pt>
                <c:pt idx="20">
                  <c:v>0.71323577059472132</c:v>
                </c:pt>
                <c:pt idx="21">
                  <c:v>1.447697122852786</c:v>
                </c:pt>
                <c:pt idx="22">
                  <c:v>2.0246885555190617</c:v>
                </c:pt>
                <c:pt idx="23">
                  <c:v>2.7446539600351909</c:v>
                </c:pt>
                <c:pt idx="24">
                  <c:v>3.6095788419706749</c:v>
                </c:pt>
                <c:pt idx="25">
                  <c:v>4.2363660514862174</c:v>
                </c:pt>
                <c:pt idx="26">
                  <c:v>4.9965511219190617</c:v>
                </c:pt>
                <c:pt idx="27">
                  <c:v>5.7793322999835777</c:v>
                </c:pt>
                <c:pt idx="28">
                  <c:v>6.5449994742897362</c:v>
                </c:pt>
                <c:pt idx="29">
                  <c:v>7.4050923736445746</c:v>
                </c:pt>
                <c:pt idx="30">
                  <c:v>7.4050923736445746</c:v>
                </c:pt>
                <c:pt idx="31">
                  <c:v>8.3231690639671552</c:v>
                </c:pt>
                <c:pt idx="32">
                  <c:v>8.9426468016516125</c:v>
                </c:pt>
                <c:pt idx="33">
                  <c:v>9.7350919448774196</c:v>
                </c:pt>
                <c:pt idx="34">
                  <c:v>10.217517085729032</c:v>
                </c:pt>
                <c:pt idx="35">
                  <c:v>11.053450072180645</c:v>
                </c:pt>
                <c:pt idx="36">
                  <c:v>11.402477352114957</c:v>
                </c:pt>
                <c:pt idx="37">
                  <c:v>12.277066199211731</c:v>
                </c:pt>
                <c:pt idx="38">
                  <c:v>12.551856655861584</c:v>
                </c:pt>
                <c:pt idx="39">
                  <c:v>13.489261276506745</c:v>
                </c:pt>
                <c:pt idx="40">
                  <c:v>13.642303342970088</c:v>
                </c:pt>
                <c:pt idx="41">
                  <c:v>15.014586395873314</c:v>
                </c:pt>
                <c:pt idx="42">
                  <c:v>15.014586395873314</c:v>
                </c:pt>
                <c:pt idx="43">
                  <c:v>15.198201733937831</c:v>
                </c:pt>
                <c:pt idx="44">
                  <c:v>15.198201733937831</c:v>
                </c:pt>
                <c:pt idx="45">
                  <c:v>15.198201733937831</c:v>
                </c:pt>
                <c:pt idx="46">
                  <c:v>15.198201733937831</c:v>
                </c:pt>
                <c:pt idx="47">
                  <c:v>15.198201733937831</c:v>
                </c:pt>
                <c:pt idx="48">
                  <c:v>15.198201733937831</c:v>
                </c:pt>
                <c:pt idx="49">
                  <c:v>15.198201733937831</c:v>
                </c:pt>
                <c:pt idx="50">
                  <c:v>15.198201733937831</c:v>
                </c:pt>
                <c:pt idx="51">
                  <c:v>15.198201733937831</c:v>
                </c:pt>
                <c:pt idx="52">
                  <c:v>15.198201733937831</c:v>
                </c:pt>
                <c:pt idx="53">
                  <c:v>15.198201733937831</c:v>
                </c:pt>
                <c:pt idx="54">
                  <c:v>15.198201733937831</c:v>
                </c:pt>
                <c:pt idx="55">
                  <c:v>15.198201733937831</c:v>
                </c:pt>
                <c:pt idx="56">
                  <c:v>15.198201733937831</c:v>
                </c:pt>
                <c:pt idx="57">
                  <c:v>15.198201733937831</c:v>
                </c:pt>
                <c:pt idx="58">
                  <c:v>15.198201733937831</c:v>
                </c:pt>
                <c:pt idx="59">
                  <c:v>15.198201733937831</c:v>
                </c:pt>
                <c:pt idx="60">
                  <c:v>15.198201733937831</c:v>
                </c:pt>
                <c:pt idx="61">
                  <c:v>15.198201733937831</c:v>
                </c:pt>
                <c:pt idx="62">
                  <c:v>15.198201733937831</c:v>
                </c:pt>
                <c:pt idx="63">
                  <c:v>15.198201733937831</c:v>
                </c:pt>
                <c:pt idx="64">
                  <c:v>15.198201733937831</c:v>
                </c:pt>
                <c:pt idx="65">
                  <c:v>15.198201733937831</c:v>
                </c:pt>
                <c:pt idx="66">
                  <c:v>15.198201733937831</c:v>
                </c:pt>
                <c:pt idx="67">
                  <c:v>15.198201733937831</c:v>
                </c:pt>
                <c:pt idx="68">
                  <c:v>15.198201733937831</c:v>
                </c:pt>
                <c:pt idx="69">
                  <c:v>15.198201733937831</c:v>
                </c:pt>
                <c:pt idx="70">
                  <c:v>15.198201733937831</c:v>
                </c:pt>
                <c:pt idx="71">
                  <c:v>15.198201733937831</c:v>
                </c:pt>
                <c:pt idx="72">
                  <c:v>15.198201733937831</c:v>
                </c:pt>
                <c:pt idx="73">
                  <c:v>15.198201733937831</c:v>
                </c:pt>
                <c:pt idx="74">
                  <c:v>15.198201733937831</c:v>
                </c:pt>
                <c:pt idx="75">
                  <c:v>15.198201733937831</c:v>
                </c:pt>
                <c:pt idx="76">
                  <c:v>15.198201733937831</c:v>
                </c:pt>
                <c:pt idx="77">
                  <c:v>15.198201733937831</c:v>
                </c:pt>
                <c:pt idx="78">
                  <c:v>15.198201733937831</c:v>
                </c:pt>
                <c:pt idx="79">
                  <c:v>15.198201733937831</c:v>
                </c:pt>
                <c:pt idx="80">
                  <c:v>15.198201733937831</c:v>
                </c:pt>
                <c:pt idx="81">
                  <c:v>15.198201733937831</c:v>
                </c:pt>
                <c:pt idx="82">
                  <c:v>15.198201733937831</c:v>
                </c:pt>
                <c:pt idx="83">
                  <c:v>15.198201733937831</c:v>
                </c:pt>
                <c:pt idx="84">
                  <c:v>15.198201733937831</c:v>
                </c:pt>
                <c:pt idx="85">
                  <c:v>15.198201733937831</c:v>
                </c:pt>
                <c:pt idx="86">
                  <c:v>15.198201733937831</c:v>
                </c:pt>
                <c:pt idx="87">
                  <c:v>15.198201733937831</c:v>
                </c:pt>
                <c:pt idx="88">
                  <c:v>15.198201733937831</c:v>
                </c:pt>
                <c:pt idx="89">
                  <c:v>15.198201733937831</c:v>
                </c:pt>
                <c:pt idx="90">
                  <c:v>15.198201733937831</c:v>
                </c:pt>
              </c:numCache>
            </c:numRef>
          </c:xVal>
          <c:yVal>
            <c:numRef>
              <c:f>'UT-GOM2-1-H005-6FB-2 21.5-41.5'!$AC$6:$AC$500</c:f>
              <c:numCache>
                <c:formatCode>0.0</c:formatCode>
                <c:ptCount val="495"/>
                <c:pt idx="0">
                  <c:v>24.3</c:v>
                </c:pt>
                <c:pt idx="1">
                  <c:v>19.2</c:v>
                </c:pt>
                <c:pt idx="2">
                  <c:v>19.2</c:v>
                </c:pt>
                <c:pt idx="3">
                  <c:v>9.6</c:v>
                </c:pt>
                <c:pt idx="4">
                  <c:v>7.6400000000000006</c:v>
                </c:pt>
                <c:pt idx="5">
                  <c:v>6.15</c:v>
                </c:pt>
                <c:pt idx="6">
                  <c:v>5.32</c:v>
                </c:pt>
                <c:pt idx="7">
                  <c:v>4.87</c:v>
                </c:pt>
                <c:pt idx="8">
                  <c:v>4.5299999999999994</c:v>
                </c:pt>
                <c:pt idx="9">
                  <c:v>4.32</c:v>
                </c:pt>
                <c:pt idx="10">
                  <c:v>4.51</c:v>
                </c:pt>
                <c:pt idx="11">
                  <c:v>4.91</c:v>
                </c:pt>
                <c:pt idx="12">
                  <c:v>4.4700000000000006</c:v>
                </c:pt>
                <c:pt idx="13">
                  <c:v>3.5799999999999996</c:v>
                </c:pt>
                <c:pt idx="14">
                  <c:v>3.85</c:v>
                </c:pt>
                <c:pt idx="15">
                  <c:v>4.8</c:v>
                </c:pt>
                <c:pt idx="16">
                  <c:v>3.71</c:v>
                </c:pt>
                <c:pt idx="17">
                  <c:v>3.63</c:v>
                </c:pt>
                <c:pt idx="18">
                  <c:v>3.44</c:v>
                </c:pt>
                <c:pt idx="19">
                  <c:v>3.9200000000000004</c:v>
                </c:pt>
                <c:pt idx="20">
                  <c:v>4.6399999999999997</c:v>
                </c:pt>
                <c:pt idx="21">
                  <c:v>4.1100000000000003</c:v>
                </c:pt>
                <c:pt idx="22">
                  <c:v>4.21</c:v>
                </c:pt>
                <c:pt idx="23">
                  <c:v>3.6700000000000004</c:v>
                </c:pt>
                <c:pt idx="24">
                  <c:v>3.56</c:v>
                </c:pt>
                <c:pt idx="25">
                  <c:v>3.4299999999999997</c:v>
                </c:pt>
                <c:pt idx="26">
                  <c:v>4.16</c:v>
                </c:pt>
                <c:pt idx="27">
                  <c:v>3.69</c:v>
                </c:pt>
                <c:pt idx="28">
                  <c:v>4.1899999999999995</c:v>
                </c:pt>
                <c:pt idx="29">
                  <c:v>3.6700000000000004</c:v>
                </c:pt>
                <c:pt idx="30">
                  <c:v>3.87</c:v>
                </c:pt>
                <c:pt idx="31">
                  <c:v>3.34</c:v>
                </c:pt>
                <c:pt idx="32">
                  <c:v>3.3899999999999997</c:v>
                </c:pt>
                <c:pt idx="33">
                  <c:v>2.88</c:v>
                </c:pt>
                <c:pt idx="34">
                  <c:v>2.6399999999999997</c:v>
                </c:pt>
                <c:pt idx="35">
                  <c:v>1.97</c:v>
                </c:pt>
                <c:pt idx="36">
                  <c:v>1.9100000000000001</c:v>
                </c:pt>
                <c:pt idx="37">
                  <c:v>1.7399999999999998</c:v>
                </c:pt>
                <c:pt idx="38">
                  <c:v>1.2029999999999998</c:v>
                </c:pt>
                <c:pt idx="39">
                  <c:v>0.67</c:v>
                </c:pt>
                <c:pt idx="40">
                  <c:v>0.67</c:v>
                </c:pt>
                <c:pt idx="41">
                  <c:v>0.01</c:v>
                </c:pt>
                <c:pt idx="42">
                  <c:v>0</c:v>
                </c:pt>
                <c:pt idx="43">
                  <c:v>-0.02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1AD-4808-BBCA-FC82030732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7503968"/>
        <c:axId val="297504528"/>
      </c:scatterChart>
      <c:scatterChart>
        <c:scatterStyle val="lineMarker"/>
        <c:varyColors val="0"/>
        <c:ser>
          <c:idx val="0"/>
          <c:order val="1"/>
          <c:tx>
            <c:v>C1/C2</c:v>
          </c:tx>
          <c:marker>
            <c:symbol val="diamond"/>
            <c:size val="10"/>
            <c:spPr>
              <a:solidFill>
                <a:srgbClr val="FF0000"/>
              </a:solidFill>
              <a:ln>
                <a:solidFill>
                  <a:srgbClr val="C00000"/>
                </a:solidFill>
              </a:ln>
            </c:spPr>
          </c:marker>
          <c:xVal>
            <c:numRef>
              <c:f>'UT-GOM2-1-H005-6FB-2 21.5-41.5'!$W$6:$W$96</c:f>
              <c:numCache>
                <c:formatCode>0.00</c:formatCode>
                <c:ptCount val="9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7.7311721290322613E-2</c:v>
                </c:pt>
                <c:pt idx="20">
                  <c:v>0.71323577059472132</c:v>
                </c:pt>
                <c:pt idx="21">
                  <c:v>1.447697122852786</c:v>
                </c:pt>
                <c:pt idx="22">
                  <c:v>2.0246885555190617</c:v>
                </c:pt>
                <c:pt idx="23">
                  <c:v>2.7446539600351909</c:v>
                </c:pt>
                <c:pt idx="24">
                  <c:v>3.6095788419706749</c:v>
                </c:pt>
                <c:pt idx="25">
                  <c:v>4.2363660514862174</c:v>
                </c:pt>
                <c:pt idx="26">
                  <c:v>4.9965511219190617</c:v>
                </c:pt>
                <c:pt idx="27">
                  <c:v>5.7793322999835777</c:v>
                </c:pt>
                <c:pt idx="28">
                  <c:v>6.5449994742897362</c:v>
                </c:pt>
                <c:pt idx="29">
                  <c:v>7.4050923736445746</c:v>
                </c:pt>
                <c:pt idx="30">
                  <c:v>7.4050923736445746</c:v>
                </c:pt>
                <c:pt idx="31">
                  <c:v>8.3231690639671552</c:v>
                </c:pt>
                <c:pt idx="32">
                  <c:v>8.9426468016516125</c:v>
                </c:pt>
                <c:pt idx="33">
                  <c:v>9.7350919448774196</c:v>
                </c:pt>
                <c:pt idx="34">
                  <c:v>10.217517085729032</c:v>
                </c:pt>
                <c:pt idx="35">
                  <c:v>11.053450072180645</c:v>
                </c:pt>
                <c:pt idx="36">
                  <c:v>11.402477352114957</c:v>
                </c:pt>
                <c:pt idx="37">
                  <c:v>12.277066199211731</c:v>
                </c:pt>
                <c:pt idx="38">
                  <c:v>12.551856655861584</c:v>
                </c:pt>
                <c:pt idx="39">
                  <c:v>13.489261276506745</c:v>
                </c:pt>
                <c:pt idx="40">
                  <c:v>13.642303342970088</c:v>
                </c:pt>
                <c:pt idx="41">
                  <c:v>15.014586395873314</c:v>
                </c:pt>
                <c:pt idx="42">
                  <c:v>15.014586395873314</c:v>
                </c:pt>
                <c:pt idx="43">
                  <c:v>15.198201733937831</c:v>
                </c:pt>
                <c:pt idx="44">
                  <c:v>15.198201733937831</c:v>
                </c:pt>
                <c:pt idx="45">
                  <c:v>15.198201733937831</c:v>
                </c:pt>
                <c:pt idx="46">
                  <c:v>15.198201733937831</c:v>
                </c:pt>
                <c:pt idx="47">
                  <c:v>15.198201733937831</c:v>
                </c:pt>
                <c:pt idx="48">
                  <c:v>15.198201733937831</c:v>
                </c:pt>
                <c:pt idx="49">
                  <c:v>15.198201733937831</c:v>
                </c:pt>
                <c:pt idx="50">
                  <c:v>15.198201733937831</c:v>
                </c:pt>
                <c:pt idx="51">
                  <c:v>15.198201733937831</c:v>
                </c:pt>
                <c:pt idx="52">
                  <c:v>15.198201733937831</c:v>
                </c:pt>
                <c:pt idx="53">
                  <c:v>15.198201733937831</c:v>
                </c:pt>
                <c:pt idx="54">
                  <c:v>15.198201733937831</c:v>
                </c:pt>
                <c:pt idx="55">
                  <c:v>15.198201733937831</c:v>
                </c:pt>
                <c:pt idx="56">
                  <c:v>15.198201733937831</c:v>
                </c:pt>
                <c:pt idx="57">
                  <c:v>15.198201733937831</c:v>
                </c:pt>
                <c:pt idx="58">
                  <c:v>15.198201733937831</c:v>
                </c:pt>
                <c:pt idx="59">
                  <c:v>15.198201733937831</c:v>
                </c:pt>
                <c:pt idx="60">
                  <c:v>15.198201733937831</c:v>
                </c:pt>
                <c:pt idx="61">
                  <c:v>15.198201733937831</c:v>
                </c:pt>
                <c:pt idx="62">
                  <c:v>15.198201733937831</c:v>
                </c:pt>
                <c:pt idx="63">
                  <c:v>15.198201733937831</c:v>
                </c:pt>
                <c:pt idx="64">
                  <c:v>15.198201733937831</c:v>
                </c:pt>
                <c:pt idx="65">
                  <c:v>15.198201733937831</c:v>
                </c:pt>
                <c:pt idx="66">
                  <c:v>15.198201733937831</c:v>
                </c:pt>
                <c:pt idx="67">
                  <c:v>15.198201733937831</c:v>
                </c:pt>
                <c:pt idx="68">
                  <c:v>15.198201733937831</c:v>
                </c:pt>
                <c:pt idx="69">
                  <c:v>15.198201733937831</c:v>
                </c:pt>
                <c:pt idx="70">
                  <c:v>15.198201733937831</c:v>
                </c:pt>
                <c:pt idx="71">
                  <c:v>15.198201733937831</c:v>
                </c:pt>
                <c:pt idx="72">
                  <c:v>15.198201733937831</c:v>
                </c:pt>
                <c:pt idx="73">
                  <c:v>15.198201733937831</c:v>
                </c:pt>
                <c:pt idx="74">
                  <c:v>15.198201733937831</c:v>
                </c:pt>
                <c:pt idx="75">
                  <c:v>15.198201733937831</c:v>
                </c:pt>
                <c:pt idx="76">
                  <c:v>15.198201733937831</c:v>
                </c:pt>
                <c:pt idx="77">
                  <c:v>15.198201733937831</c:v>
                </c:pt>
                <c:pt idx="78">
                  <c:v>15.198201733937831</c:v>
                </c:pt>
                <c:pt idx="79">
                  <c:v>15.198201733937831</c:v>
                </c:pt>
                <c:pt idx="80">
                  <c:v>15.198201733937831</c:v>
                </c:pt>
                <c:pt idx="81">
                  <c:v>15.198201733937831</c:v>
                </c:pt>
                <c:pt idx="82">
                  <c:v>15.198201733937831</c:v>
                </c:pt>
                <c:pt idx="83">
                  <c:v>15.198201733937831</c:v>
                </c:pt>
                <c:pt idx="84">
                  <c:v>15.198201733937831</c:v>
                </c:pt>
                <c:pt idx="85">
                  <c:v>15.198201733937831</c:v>
                </c:pt>
                <c:pt idx="86">
                  <c:v>15.198201733937831</c:v>
                </c:pt>
                <c:pt idx="87">
                  <c:v>15.198201733937831</c:v>
                </c:pt>
                <c:pt idx="88">
                  <c:v>15.198201733937831</c:v>
                </c:pt>
                <c:pt idx="89">
                  <c:v>15.198201733937831</c:v>
                </c:pt>
                <c:pt idx="90">
                  <c:v>15.198201733937831</c:v>
                </c:pt>
              </c:numCache>
            </c:numRef>
          </c:xVal>
          <c:yVal>
            <c:numRef>
              <c:f>'UT-GOM2-1-H005-6FB-2 21.5-41.5'!$AE$6:$AE$96</c:f>
              <c:numCache>
                <c:formatCode>General</c:formatCode>
                <c:ptCount val="91"/>
                <c:pt idx="57">
                  <c:v>10909.796518434017</c:v>
                </c:pt>
                <c:pt idx="61">
                  <c:v>10767.068995859552</c:v>
                </c:pt>
                <c:pt idx="63">
                  <c:v>10136.339871782975</c:v>
                </c:pt>
                <c:pt idx="65">
                  <c:v>10258.598862406445</c:v>
                </c:pt>
                <c:pt idx="69">
                  <c:v>8823.8843626836551</c:v>
                </c:pt>
                <c:pt idx="73">
                  <c:v>7717.4186796665708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1AD-4808-BBCA-FC82030732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7181968"/>
        <c:axId val="297181408"/>
      </c:scatterChart>
      <c:valAx>
        <c:axId val="297503968"/>
        <c:scaling>
          <c:orientation val="minMax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400" baseline="0"/>
                  <a:t>Released CH</a:t>
                </a:r>
                <a:r>
                  <a:rPr lang="en-US" sz="1400" baseline="-25000"/>
                  <a:t>4</a:t>
                </a:r>
                <a:r>
                  <a:rPr lang="en-US" sz="1400" baseline="0"/>
                  <a:t> @ STP (L)</a:t>
                </a:r>
              </a:p>
            </c:rich>
          </c:tx>
          <c:layout>
            <c:manualLayout>
              <c:xMode val="edge"/>
              <c:yMode val="edge"/>
              <c:x val="0.41233031674208098"/>
              <c:y val="0.9517440718157179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97504528"/>
        <c:crosses val="autoZero"/>
        <c:crossBetween val="midCat"/>
        <c:minorUnit val="1"/>
      </c:valAx>
      <c:valAx>
        <c:axId val="297504528"/>
        <c:scaling>
          <c:orientation val="minMax"/>
          <c:max val="20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B05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400" baseline="0">
                    <a:solidFill>
                      <a:srgbClr val="00B050"/>
                    </a:solidFill>
                  </a:rPr>
                  <a:t>Pressure (MPa)</a:t>
                </a:r>
              </a:p>
            </c:rich>
          </c:tx>
          <c:layout>
            <c:manualLayout>
              <c:xMode val="edge"/>
              <c:yMode val="edge"/>
              <c:x val="1.26675465057818E-2"/>
              <c:y val="0.4061353319783200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97503968"/>
        <c:crosses val="autoZero"/>
        <c:crossBetween val="midCat"/>
      </c:valAx>
      <c:valAx>
        <c:axId val="297181408"/>
        <c:scaling>
          <c:orientation val="minMax"/>
          <c:min val="6000"/>
        </c:scaling>
        <c:delete val="0"/>
        <c:axPos val="r"/>
        <c:title>
          <c:tx>
            <c:rich>
              <a:bodyPr rot="5400000" vert="horz"/>
              <a:lstStyle/>
              <a:p>
                <a:pPr>
                  <a:defRPr sz="1400" b="1">
                    <a:solidFill>
                      <a:srgbClr val="FF0000"/>
                    </a:solidFill>
                  </a:defRPr>
                </a:pPr>
                <a:r>
                  <a:rPr lang="en-US" sz="1400" b="1">
                    <a:solidFill>
                      <a:srgbClr val="FF0000"/>
                    </a:solidFill>
                  </a:rPr>
                  <a:t>C1/C2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400" b="0"/>
            </a:pPr>
            <a:endParaRPr lang="en-US"/>
          </a:p>
        </c:txPr>
        <c:crossAx val="297181968"/>
        <c:crosses val="max"/>
        <c:crossBetween val="midCat"/>
      </c:valAx>
      <c:valAx>
        <c:axId val="297181968"/>
        <c:scaling>
          <c:orientation val="minMax"/>
        </c:scaling>
        <c:delete val="1"/>
        <c:axPos val="b"/>
        <c:numFmt formatCode="0.00" sourceLinked="1"/>
        <c:majorTickMark val="out"/>
        <c:minorTickMark val="none"/>
        <c:tickLblPos val="nextTo"/>
        <c:crossAx val="297181408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" r="0.75" t="1" header="0.5" footer="0.5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7424208144796"/>
          <c:y val="0.12638516260162599"/>
          <c:w val="0.85129378827646496"/>
          <c:h val="0.76929257858515698"/>
        </c:manualLayout>
      </c:layout>
      <c:scatterChart>
        <c:scatterStyle val="lineMarker"/>
        <c:varyColors val="0"/>
        <c:ser>
          <c:idx val="0"/>
          <c:order val="0"/>
          <c:tx>
            <c:strRef>
              <c:f>'UT-GOM2-1-H005-6FB-2 21.5-41.5'!$AA$4</c:f>
              <c:strCache>
                <c:ptCount val="1"/>
                <c:pt idx="0">
                  <c:v>total methane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  <a:tailEnd type="none" w="lg" len="sm"/>
            </a:ln>
          </c:spPr>
          <c:marker>
            <c:symbol val="square"/>
            <c:size val="9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'UT-GOM2-1-H005-6FB-2 21.5-41.5'!$AA$6:$AA$500</c:f>
              <c:numCache>
                <c:formatCode>0.00</c:formatCode>
                <c:ptCount val="495"/>
                <c:pt idx="0">
                  <c:v>0.46509023655913978</c:v>
                </c:pt>
                <c:pt idx="1">
                  <c:v>0.69813481416039735</c:v>
                </c:pt>
                <c:pt idx="2">
                  <c:v>1.4715150107526882</c:v>
                </c:pt>
                <c:pt idx="3">
                  <c:v>0.70335757804118115</c:v>
                </c:pt>
                <c:pt idx="4">
                  <c:v>1.0282045876477146</c:v>
                </c:pt>
                <c:pt idx="5">
                  <c:v>0.88982161798841775</c:v>
                </c:pt>
                <c:pt idx="6">
                  <c:v>0.91015328012356977</c:v>
                </c:pt>
                <c:pt idx="7">
                  <c:v>0.90808571970601704</c:v>
                </c:pt>
                <c:pt idx="8">
                  <c:v>0.89722793647854415</c:v>
                </c:pt>
                <c:pt idx="9">
                  <c:v>1.0855446128594106</c:v>
                </c:pt>
                <c:pt idx="10">
                  <c:v>1.2341565476266405</c:v>
                </c:pt>
                <c:pt idx="11">
                  <c:v>1.6083112821128771</c:v>
                </c:pt>
                <c:pt idx="12">
                  <c:v>1.4170713599953633</c:v>
                </c:pt>
                <c:pt idx="13">
                  <c:v>1.2855395461073889</c:v>
                </c:pt>
                <c:pt idx="14">
                  <c:v>1.5517501638239548</c:v>
                </c:pt>
                <c:pt idx="15">
                  <c:v>2.2313166153934478</c:v>
                </c:pt>
                <c:pt idx="16">
                  <c:v>1.5796062155899204</c:v>
                </c:pt>
                <c:pt idx="17">
                  <c:v>1.6215633666813323</c:v>
                </c:pt>
                <c:pt idx="18">
                  <c:v>2.6771529142927899</c:v>
                </c:pt>
                <c:pt idx="19">
                  <c:v>4.7479622971693187</c:v>
                </c:pt>
                <c:pt idx="20">
                  <c:v>6.2386038897115457</c:v>
                </c:pt>
                <c:pt idx="21">
                  <c:v>6.5716687930374462</c:v>
                </c:pt>
                <c:pt idx="22">
                  <c:v>7.3241395145949557</c:v>
                </c:pt>
                <c:pt idx="23">
                  <c:v>7.5091214468306955</c:v>
                </c:pt>
                <c:pt idx="24">
                  <c:v>8.267807899587492</c:v>
                </c:pt>
                <c:pt idx="25">
                  <c:v>8.7273713068175311</c:v>
                </c:pt>
                <c:pt idx="26">
                  <c:v>10.496061335734858</c:v>
                </c:pt>
                <c:pt idx="27">
                  <c:v>10.574589439810316</c:v>
                </c:pt>
                <c:pt idx="28">
                  <c:v>12.060834245956798</c:v>
                </c:pt>
                <c:pt idx="29">
                  <c:v>12.207016626384341</c:v>
                </c:pt>
                <c:pt idx="30">
                  <c:v>12.522638761893795</c:v>
                </c:pt>
                <c:pt idx="31">
                  <c:v>12.800335035099442</c:v>
                </c:pt>
                <c:pt idx="32">
                  <c:v>13.530130178603574</c:v>
                </c:pt>
                <c:pt idx="33">
                  <c:v>13.612251496937915</c:v>
                </c:pt>
                <c:pt idx="34">
                  <c:v>13.799215808392844</c:v>
                </c:pt>
                <c:pt idx="35">
                  <c:v>13.733952948836647</c:v>
                </c:pt>
                <c:pt idx="36">
                  <c:v>14.038721066853828</c:v>
                </c:pt>
                <c:pt idx="37">
                  <c:v>14.684291672524212</c:v>
                </c:pt>
                <c:pt idx="38">
                  <c:v>14.241168400445126</c:v>
                </c:pt>
                <c:pt idx="39">
                  <c:v>14.486496972264824</c:v>
                </c:pt>
                <c:pt idx="40">
                  <c:v>14.653550569206647</c:v>
                </c:pt>
                <c:pt idx="41">
                  <c:v>15.156323044418842</c:v>
                </c:pt>
                <c:pt idx="42">
                  <c:v>15.145877589139625</c:v>
                </c:pt>
                <c:pt idx="43">
                  <c:v>15.303202843956294</c:v>
                </c:pt>
                <c:pt idx="44">
                  <c:v>15.329611963619053</c:v>
                </c:pt>
                <c:pt idx="45">
                  <c:v>15.329532542539981</c:v>
                </c:pt>
                <c:pt idx="46">
                  <c:v>15.329532542539981</c:v>
                </c:pt>
                <c:pt idx="47">
                  <c:v>15.329532542539981</c:v>
                </c:pt>
                <c:pt idx="48">
                  <c:v>15.329532542539981</c:v>
                </c:pt>
                <c:pt idx="49">
                  <c:v>15.329532542539981</c:v>
                </c:pt>
                <c:pt idx="50">
                  <c:v>15.329532542539981</c:v>
                </c:pt>
                <c:pt idx="51">
                  <c:v>15.329532542539981</c:v>
                </c:pt>
                <c:pt idx="52">
                  <c:v>15.329532542539981</c:v>
                </c:pt>
                <c:pt idx="53">
                  <c:v>15.329532542539981</c:v>
                </c:pt>
                <c:pt idx="54">
                  <c:v>15.329532542539981</c:v>
                </c:pt>
                <c:pt idx="55">
                  <c:v>15.329532542539981</c:v>
                </c:pt>
                <c:pt idx="56">
                  <c:v>15.329532542539981</c:v>
                </c:pt>
                <c:pt idx="57">
                  <c:v>15.329532542539981</c:v>
                </c:pt>
                <c:pt idx="58">
                  <c:v>15.329532542539981</c:v>
                </c:pt>
                <c:pt idx="59">
                  <c:v>15.329532542539981</c:v>
                </c:pt>
                <c:pt idx="60">
                  <c:v>15.329532542539981</c:v>
                </c:pt>
                <c:pt idx="61">
                  <c:v>15.329532542539981</c:v>
                </c:pt>
                <c:pt idx="62">
                  <c:v>15.329532542539981</c:v>
                </c:pt>
                <c:pt idx="63">
                  <c:v>15.329532542539981</c:v>
                </c:pt>
                <c:pt idx="64">
                  <c:v>15.329532542539981</c:v>
                </c:pt>
                <c:pt idx="65">
                  <c:v>15.329532542539981</c:v>
                </c:pt>
                <c:pt idx="66">
                  <c:v>15.329532542539981</c:v>
                </c:pt>
                <c:pt idx="67">
                  <c:v>15.329532542539981</c:v>
                </c:pt>
                <c:pt idx="68">
                  <c:v>15.329532542539981</c:v>
                </c:pt>
                <c:pt idx="69">
                  <c:v>15.329532542539981</c:v>
                </c:pt>
                <c:pt idx="70">
                  <c:v>15.329532542539981</c:v>
                </c:pt>
                <c:pt idx="71">
                  <c:v>15.329532542539981</c:v>
                </c:pt>
                <c:pt idx="72">
                  <c:v>15.329532542539981</c:v>
                </c:pt>
                <c:pt idx="73">
                  <c:v>15.329532542539981</c:v>
                </c:pt>
                <c:pt idx="74">
                  <c:v>15.329532542539981</c:v>
                </c:pt>
                <c:pt idx="75">
                  <c:v>15.329532542539981</c:v>
                </c:pt>
                <c:pt idx="76">
                  <c:v>15.329532542539981</c:v>
                </c:pt>
                <c:pt idx="77">
                  <c:v>15.329532542539981</c:v>
                </c:pt>
                <c:pt idx="78">
                  <c:v>15.329532542539981</c:v>
                </c:pt>
                <c:pt idx="79">
                  <c:v>15.329532542539981</c:v>
                </c:pt>
                <c:pt idx="80">
                  <c:v>15.329532542539981</c:v>
                </c:pt>
                <c:pt idx="81">
                  <c:v>15.329532542539981</c:v>
                </c:pt>
                <c:pt idx="82">
                  <c:v>15.329532542539981</c:v>
                </c:pt>
                <c:pt idx="83">
                  <c:v>15.329532542539981</c:v>
                </c:pt>
                <c:pt idx="84">
                  <c:v>15.329532542539981</c:v>
                </c:pt>
                <c:pt idx="85">
                  <c:v>15.329532542539981</c:v>
                </c:pt>
                <c:pt idx="86">
                  <c:v>15.329532542539981</c:v>
                </c:pt>
                <c:pt idx="87">
                  <c:v>15.329532542539981</c:v>
                </c:pt>
                <c:pt idx="88">
                  <c:v>15.329532542539981</c:v>
                </c:pt>
                <c:pt idx="89">
                  <c:v>15.329532542539981</c:v>
                </c:pt>
                <c:pt idx="90">
                  <c:v>15.329532542539981</c:v>
                </c:pt>
              </c:numCache>
            </c:numRef>
          </c:xVal>
          <c:yVal>
            <c:numRef>
              <c:f>'UT-GOM2-1-H005-6FB-2 21.5-41.5'!$AC$6:$AC$500</c:f>
              <c:numCache>
                <c:formatCode>0.0</c:formatCode>
                <c:ptCount val="495"/>
                <c:pt idx="0">
                  <c:v>24.3</c:v>
                </c:pt>
                <c:pt idx="1">
                  <c:v>19.2</c:v>
                </c:pt>
                <c:pt idx="2">
                  <c:v>19.2</c:v>
                </c:pt>
                <c:pt idx="3">
                  <c:v>9.6</c:v>
                </c:pt>
                <c:pt idx="4">
                  <c:v>7.6400000000000006</c:v>
                </c:pt>
                <c:pt idx="5">
                  <c:v>6.15</c:v>
                </c:pt>
                <c:pt idx="6">
                  <c:v>5.32</c:v>
                </c:pt>
                <c:pt idx="7">
                  <c:v>4.87</c:v>
                </c:pt>
                <c:pt idx="8">
                  <c:v>4.5299999999999994</c:v>
                </c:pt>
                <c:pt idx="9">
                  <c:v>4.32</c:v>
                </c:pt>
                <c:pt idx="10">
                  <c:v>4.51</c:v>
                </c:pt>
                <c:pt idx="11">
                  <c:v>4.91</c:v>
                </c:pt>
                <c:pt idx="12">
                  <c:v>4.4700000000000006</c:v>
                </c:pt>
                <c:pt idx="13">
                  <c:v>3.5799999999999996</c:v>
                </c:pt>
                <c:pt idx="14">
                  <c:v>3.85</c:v>
                </c:pt>
                <c:pt idx="15">
                  <c:v>4.8</c:v>
                </c:pt>
                <c:pt idx="16">
                  <c:v>3.71</c:v>
                </c:pt>
                <c:pt idx="17">
                  <c:v>3.63</c:v>
                </c:pt>
                <c:pt idx="18">
                  <c:v>3.44</c:v>
                </c:pt>
                <c:pt idx="19">
                  <c:v>3.9200000000000004</c:v>
                </c:pt>
                <c:pt idx="20">
                  <c:v>4.6399999999999997</c:v>
                </c:pt>
                <c:pt idx="21">
                  <c:v>4.1100000000000003</c:v>
                </c:pt>
                <c:pt idx="22">
                  <c:v>4.21</c:v>
                </c:pt>
                <c:pt idx="23">
                  <c:v>3.6700000000000004</c:v>
                </c:pt>
                <c:pt idx="24">
                  <c:v>3.56</c:v>
                </c:pt>
                <c:pt idx="25">
                  <c:v>3.4299999999999997</c:v>
                </c:pt>
                <c:pt idx="26">
                  <c:v>4.16</c:v>
                </c:pt>
                <c:pt idx="27">
                  <c:v>3.69</c:v>
                </c:pt>
                <c:pt idx="28">
                  <c:v>4.1899999999999995</c:v>
                </c:pt>
                <c:pt idx="29">
                  <c:v>3.6700000000000004</c:v>
                </c:pt>
                <c:pt idx="30">
                  <c:v>3.87</c:v>
                </c:pt>
                <c:pt idx="31">
                  <c:v>3.34</c:v>
                </c:pt>
                <c:pt idx="32">
                  <c:v>3.3899999999999997</c:v>
                </c:pt>
                <c:pt idx="33">
                  <c:v>2.88</c:v>
                </c:pt>
                <c:pt idx="34">
                  <c:v>2.6399999999999997</c:v>
                </c:pt>
                <c:pt idx="35">
                  <c:v>1.97</c:v>
                </c:pt>
                <c:pt idx="36">
                  <c:v>1.9100000000000001</c:v>
                </c:pt>
                <c:pt idx="37">
                  <c:v>1.7399999999999998</c:v>
                </c:pt>
                <c:pt idx="38">
                  <c:v>1.2029999999999998</c:v>
                </c:pt>
                <c:pt idx="39">
                  <c:v>0.67</c:v>
                </c:pt>
                <c:pt idx="40">
                  <c:v>0.67</c:v>
                </c:pt>
                <c:pt idx="41">
                  <c:v>0.01</c:v>
                </c:pt>
                <c:pt idx="42">
                  <c:v>0</c:v>
                </c:pt>
                <c:pt idx="43">
                  <c:v>-0.02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652-46E5-91B5-BC41AB65287E}"/>
            </c:ext>
          </c:extLst>
        </c:ser>
        <c:ser>
          <c:idx val="1"/>
          <c:order val="1"/>
          <c:tx>
            <c:strRef>
              <c:f>'UT-GOM2-1-H005-6FB-2 21.5-41.5'!$V$4</c:f>
              <c:strCache>
                <c:ptCount val="1"/>
                <c:pt idx="0">
                  <c:v>expelled methane</c:v>
                </c:pt>
              </c:strCache>
            </c:strRef>
          </c:tx>
          <c:spPr>
            <a:ln w="25400">
              <a:solidFill>
                <a:srgbClr val="00B050"/>
              </a:solidFill>
              <a:prstDash val="solid"/>
            </a:ln>
          </c:spPr>
          <c:marker>
            <c:symbol val="circle"/>
            <c:size val="8"/>
            <c:spPr>
              <a:solidFill>
                <a:srgbClr val="00B050"/>
              </a:solidFill>
              <a:ln>
                <a:solidFill>
                  <a:srgbClr val="00B050"/>
                </a:solidFill>
                <a:prstDash val="solid"/>
              </a:ln>
            </c:spPr>
          </c:marker>
          <c:xVal>
            <c:numRef>
              <c:f>'UT-GOM2-1-H005-6FB-2 21.5-41.5'!$W$6:$W$500</c:f>
              <c:numCache>
                <c:formatCode>0.00</c:formatCode>
                <c:ptCount val="49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7.7311721290322613E-2</c:v>
                </c:pt>
                <c:pt idx="20">
                  <c:v>0.71323577059472132</c:v>
                </c:pt>
                <c:pt idx="21">
                  <c:v>1.447697122852786</c:v>
                </c:pt>
                <c:pt idx="22">
                  <c:v>2.0246885555190617</c:v>
                </c:pt>
                <c:pt idx="23">
                  <c:v>2.7446539600351909</c:v>
                </c:pt>
                <c:pt idx="24">
                  <c:v>3.6095788419706749</c:v>
                </c:pt>
                <c:pt idx="25">
                  <c:v>4.2363660514862174</c:v>
                </c:pt>
                <c:pt idx="26">
                  <c:v>4.9965511219190617</c:v>
                </c:pt>
                <c:pt idx="27">
                  <c:v>5.7793322999835777</c:v>
                </c:pt>
                <c:pt idx="28">
                  <c:v>6.5449994742897362</c:v>
                </c:pt>
                <c:pt idx="29">
                  <c:v>7.4050923736445746</c:v>
                </c:pt>
                <c:pt idx="30">
                  <c:v>7.4050923736445746</c:v>
                </c:pt>
                <c:pt idx="31">
                  <c:v>8.3231690639671552</c:v>
                </c:pt>
                <c:pt idx="32">
                  <c:v>8.9426468016516125</c:v>
                </c:pt>
                <c:pt idx="33">
                  <c:v>9.7350919448774196</c:v>
                </c:pt>
                <c:pt idx="34">
                  <c:v>10.217517085729032</c:v>
                </c:pt>
                <c:pt idx="35">
                  <c:v>11.053450072180645</c:v>
                </c:pt>
                <c:pt idx="36">
                  <c:v>11.402477352114957</c:v>
                </c:pt>
                <c:pt idx="37">
                  <c:v>12.277066199211731</c:v>
                </c:pt>
                <c:pt idx="38">
                  <c:v>12.551856655861584</c:v>
                </c:pt>
                <c:pt idx="39">
                  <c:v>13.489261276506745</c:v>
                </c:pt>
                <c:pt idx="40">
                  <c:v>13.642303342970088</c:v>
                </c:pt>
                <c:pt idx="41">
                  <c:v>15.014586395873314</c:v>
                </c:pt>
                <c:pt idx="42">
                  <c:v>15.014586395873314</c:v>
                </c:pt>
                <c:pt idx="43">
                  <c:v>15.198201733937831</c:v>
                </c:pt>
                <c:pt idx="44">
                  <c:v>15.198201733937831</c:v>
                </c:pt>
                <c:pt idx="45">
                  <c:v>15.198201733937831</c:v>
                </c:pt>
                <c:pt idx="46">
                  <c:v>15.198201733937831</c:v>
                </c:pt>
                <c:pt idx="47">
                  <c:v>15.198201733937831</c:v>
                </c:pt>
                <c:pt idx="48">
                  <c:v>15.198201733937831</c:v>
                </c:pt>
                <c:pt idx="49">
                  <c:v>15.198201733937831</c:v>
                </c:pt>
                <c:pt idx="50">
                  <c:v>15.198201733937831</c:v>
                </c:pt>
                <c:pt idx="51">
                  <c:v>15.198201733937831</c:v>
                </c:pt>
                <c:pt idx="52">
                  <c:v>15.198201733937831</c:v>
                </c:pt>
                <c:pt idx="53">
                  <c:v>15.198201733937831</c:v>
                </c:pt>
                <c:pt idx="54">
                  <c:v>15.198201733937831</c:v>
                </c:pt>
                <c:pt idx="55">
                  <c:v>15.198201733937831</c:v>
                </c:pt>
                <c:pt idx="56">
                  <c:v>15.198201733937831</c:v>
                </c:pt>
                <c:pt idx="57">
                  <c:v>15.198201733937831</c:v>
                </c:pt>
                <c:pt idx="58">
                  <c:v>15.198201733937831</c:v>
                </c:pt>
                <c:pt idx="59">
                  <c:v>15.198201733937831</c:v>
                </c:pt>
                <c:pt idx="60">
                  <c:v>15.198201733937831</c:v>
                </c:pt>
                <c:pt idx="61">
                  <c:v>15.198201733937831</c:v>
                </c:pt>
                <c:pt idx="62">
                  <c:v>15.198201733937831</c:v>
                </c:pt>
                <c:pt idx="63">
                  <c:v>15.198201733937831</c:v>
                </c:pt>
                <c:pt idx="64">
                  <c:v>15.198201733937831</c:v>
                </c:pt>
                <c:pt idx="65">
                  <c:v>15.198201733937831</c:v>
                </c:pt>
                <c:pt idx="66">
                  <c:v>15.198201733937831</c:v>
                </c:pt>
                <c:pt idx="67">
                  <c:v>15.198201733937831</c:v>
                </c:pt>
                <c:pt idx="68">
                  <c:v>15.198201733937831</c:v>
                </c:pt>
                <c:pt idx="69">
                  <c:v>15.198201733937831</c:v>
                </c:pt>
                <c:pt idx="70">
                  <c:v>15.198201733937831</c:v>
                </c:pt>
                <c:pt idx="71">
                  <c:v>15.198201733937831</c:v>
                </c:pt>
                <c:pt idx="72">
                  <c:v>15.198201733937831</c:v>
                </c:pt>
                <c:pt idx="73">
                  <c:v>15.198201733937831</c:v>
                </c:pt>
                <c:pt idx="74">
                  <c:v>15.198201733937831</c:v>
                </c:pt>
                <c:pt idx="75">
                  <c:v>15.198201733937831</c:v>
                </c:pt>
                <c:pt idx="76">
                  <c:v>15.198201733937831</c:v>
                </c:pt>
                <c:pt idx="77">
                  <c:v>15.198201733937831</c:v>
                </c:pt>
                <c:pt idx="78">
                  <c:v>15.198201733937831</c:v>
                </c:pt>
                <c:pt idx="79">
                  <c:v>15.198201733937831</c:v>
                </c:pt>
                <c:pt idx="80">
                  <c:v>15.198201733937831</c:v>
                </c:pt>
                <c:pt idx="81">
                  <c:v>15.198201733937831</c:v>
                </c:pt>
                <c:pt idx="82">
                  <c:v>15.198201733937831</c:v>
                </c:pt>
                <c:pt idx="83">
                  <c:v>15.198201733937831</c:v>
                </c:pt>
                <c:pt idx="84">
                  <c:v>15.198201733937831</c:v>
                </c:pt>
                <c:pt idx="85">
                  <c:v>15.198201733937831</c:v>
                </c:pt>
                <c:pt idx="86">
                  <c:v>15.198201733937831</c:v>
                </c:pt>
                <c:pt idx="87">
                  <c:v>15.198201733937831</c:v>
                </c:pt>
                <c:pt idx="88">
                  <c:v>15.198201733937831</c:v>
                </c:pt>
                <c:pt idx="89">
                  <c:v>15.198201733937831</c:v>
                </c:pt>
                <c:pt idx="90">
                  <c:v>15.198201733937831</c:v>
                </c:pt>
              </c:numCache>
            </c:numRef>
          </c:xVal>
          <c:yVal>
            <c:numRef>
              <c:f>'UT-GOM2-1-H005-6FB-2 21.5-41.5'!$AC$6:$AC$500</c:f>
              <c:numCache>
                <c:formatCode>0.0</c:formatCode>
                <c:ptCount val="495"/>
                <c:pt idx="0">
                  <c:v>24.3</c:v>
                </c:pt>
                <c:pt idx="1">
                  <c:v>19.2</c:v>
                </c:pt>
                <c:pt idx="2">
                  <c:v>19.2</c:v>
                </c:pt>
                <c:pt idx="3">
                  <c:v>9.6</c:v>
                </c:pt>
                <c:pt idx="4">
                  <c:v>7.6400000000000006</c:v>
                </c:pt>
                <c:pt idx="5">
                  <c:v>6.15</c:v>
                </c:pt>
                <c:pt idx="6">
                  <c:v>5.32</c:v>
                </c:pt>
                <c:pt idx="7">
                  <c:v>4.87</c:v>
                </c:pt>
                <c:pt idx="8">
                  <c:v>4.5299999999999994</c:v>
                </c:pt>
                <c:pt idx="9">
                  <c:v>4.32</c:v>
                </c:pt>
                <c:pt idx="10">
                  <c:v>4.51</c:v>
                </c:pt>
                <c:pt idx="11">
                  <c:v>4.91</c:v>
                </c:pt>
                <c:pt idx="12">
                  <c:v>4.4700000000000006</c:v>
                </c:pt>
                <c:pt idx="13">
                  <c:v>3.5799999999999996</c:v>
                </c:pt>
                <c:pt idx="14">
                  <c:v>3.85</c:v>
                </c:pt>
                <c:pt idx="15">
                  <c:v>4.8</c:v>
                </c:pt>
                <c:pt idx="16">
                  <c:v>3.71</c:v>
                </c:pt>
                <c:pt idx="17">
                  <c:v>3.63</c:v>
                </c:pt>
                <c:pt idx="18">
                  <c:v>3.44</c:v>
                </c:pt>
                <c:pt idx="19">
                  <c:v>3.9200000000000004</c:v>
                </c:pt>
                <c:pt idx="20">
                  <c:v>4.6399999999999997</c:v>
                </c:pt>
                <c:pt idx="21">
                  <c:v>4.1100000000000003</c:v>
                </c:pt>
                <c:pt idx="22">
                  <c:v>4.21</c:v>
                </c:pt>
                <c:pt idx="23">
                  <c:v>3.6700000000000004</c:v>
                </c:pt>
                <c:pt idx="24">
                  <c:v>3.56</c:v>
                </c:pt>
                <c:pt idx="25">
                  <c:v>3.4299999999999997</c:v>
                </c:pt>
                <c:pt idx="26">
                  <c:v>4.16</c:v>
                </c:pt>
                <c:pt idx="27">
                  <c:v>3.69</c:v>
                </c:pt>
                <c:pt idx="28">
                  <c:v>4.1899999999999995</c:v>
                </c:pt>
                <c:pt idx="29">
                  <c:v>3.6700000000000004</c:v>
                </c:pt>
                <c:pt idx="30">
                  <c:v>3.87</c:v>
                </c:pt>
                <c:pt idx="31">
                  <c:v>3.34</c:v>
                </c:pt>
                <c:pt idx="32">
                  <c:v>3.3899999999999997</c:v>
                </c:pt>
                <c:pt idx="33">
                  <c:v>2.88</c:v>
                </c:pt>
                <c:pt idx="34">
                  <c:v>2.6399999999999997</c:v>
                </c:pt>
                <c:pt idx="35">
                  <c:v>1.97</c:v>
                </c:pt>
                <c:pt idx="36">
                  <c:v>1.9100000000000001</c:v>
                </c:pt>
                <c:pt idx="37">
                  <c:v>1.7399999999999998</c:v>
                </c:pt>
                <c:pt idx="38">
                  <c:v>1.2029999999999998</c:v>
                </c:pt>
                <c:pt idx="39">
                  <c:v>0.67</c:v>
                </c:pt>
                <c:pt idx="40">
                  <c:v>0.67</c:v>
                </c:pt>
                <c:pt idx="41">
                  <c:v>0.01</c:v>
                </c:pt>
                <c:pt idx="42">
                  <c:v>0</c:v>
                </c:pt>
                <c:pt idx="43">
                  <c:v>-0.02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652-46E5-91B5-BC41AB65287E}"/>
            </c:ext>
          </c:extLst>
        </c:ser>
        <c:ser>
          <c:idx val="2"/>
          <c:order val="2"/>
          <c:tx>
            <c:strRef>
              <c:f>'UT-GOM2-1-H005-6FB-2 21.5-41.5'!$X$4</c:f>
              <c:strCache>
                <c:ptCount val="1"/>
                <c:pt idx="0">
                  <c:v>methane remaining in chamber</c:v>
                </c:pt>
              </c:strCache>
            </c:strRef>
          </c:tx>
          <c:spPr>
            <a:ln w="25400">
              <a:solidFill>
                <a:srgbClr val="00B0F0"/>
              </a:solidFill>
            </a:ln>
          </c:spPr>
          <c:marker>
            <c:symbol val="triangle"/>
            <c:size val="8"/>
            <c:spPr>
              <a:solidFill>
                <a:srgbClr val="00B0F0"/>
              </a:solidFill>
              <a:ln>
                <a:solidFill>
                  <a:srgbClr val="00B0F0"/>
                </a:solidFill>
              </a:ln>
            </c:spPr>
          </c:marker>
          <c:xVal>
            <c:numRef>
              <c:f>'UT-GOM2-1-H005-6FB-2 21.5-41.5'!$Z$6:$Z$500</c:f>
              <c:numCache>
                <c:formatCode>0.00</c:formatCode>
                <c:ptCount val="495"/>
                <c:pt idx="0">
                  <c:v>0.46509023655913978</c:v>
                </c:pt>
                <c:pt idx="1">
                  <c:v>0.69813481416039735</c:v>
                </c:pt>
                <c:pt idx="2">
                  <c:v>1.4715150107526882</c:v>
                </c:pt>
                <c:pt idx="3">
                  <c:v>0.70335757804118115</c:v>
                </c:pt>
                <c:pt idx="4">
                  <c:v>1.0282045876477146</c:v>
                </c:pt>
                <c:pt idx="5">
                  <c:v>0.88982161798841775</c:v>
                </c:pt>
                <c:pt idx="6">
                  <c:v>0.91015328012356977</c:v>
                </c:pt>
                <c:pt idx="7">
                  <c:v>0.90808571970601704</c:v>
                </c:pt>
                <c:pt idx="8">
                  <c:v>0.89722793647854415</c:v>
                </c:pt>
                <c:pt idx="9">
                  <c:v>1.0855446128594106</c:v>
                </c:pt>
                <c:pt idx="10">
                  <c:v>1.2341565476266405</c:v>
                </c:pt>
                <c:pt idx="11">
                  <c:v>1.6083112821128771</c:v>
                </c:pt>
                <c:pt idx="12">
                  <c:v>1.4170713599953633</c:v>
                </c:pt>
                <c:pt idx="13">
                  <c:v>1.2855395461073889</c:v>
                </c:pt>
                <c:pt idx="14">
                  <c:v>1.5517501638239548</c:v>
                </c:pt>
                <c:pt idx="15">
                  <c:v>2.2313166153934478</c:v>
                </c:pt>
                <c:pt idx="16">
                  <c:v>1.5796062155899204</c:v>
                </c:pt>
                <c:pt idx="17">
                  <c:v>1.6215633666813323</c:v>
                </c:pt>
                <c:pt idx="18">
                  <c:v>2.6771529142927899</c:v>
                </c:pt>
                <c:pt idx="19">
                  <c:v>4.6706505758789962</c:v>
                </c:pt>
                <c:pt idx="20">
                  <c:v>5.5253681191168242</c:v>
                </c:pt>
                <c:pt idx="21">
                  <c:v>5.1239716701846598</c:v>
                </c:pt>
                <c:pt idx="22">
                  <c:v>5.2994509590758936</c:v>
                </c:pt>
                <c:pt idx="23">
                  <c:v>4.764467486795505</c:v>
                </c:pt>
                <c:pt idx="24">
                  <c:v>4.6582290576168175</c:v>
                </c:pt>
                <c:pt idx="25">
                  <c:v>4.4910052553313129</c:v>
                </c:pt>
                <c:pt idx="26">
                  <c:v>5.4995102138157961</c:v>
                </c:pt>
                <c:pt idx="27">
                  <c:v>4.7952571398267381</c:v>
                </c:pt>
                <c:pt idx="28">
                  <c:v>5.5158347716670608</c:v>
                </c:pt>
                <c:pt idx="29">
                  <c:v>4.8019242527397656</c:v>
                </c:pt>
                <c:pt idx="30">
                  <c:v>5.1175463882492211</c:v>
                </c:pt>
                <c:pt idx="31">
                  <c:v>4.4771659711322869</c:v>
                </c:pt>
                <c:pt idx="32">
                  <c:v>4.587483376951961</c:v>
                </c:pt>
                <c:pt idx="33">
                  <c:v>3.8771595520604949</c:v>
                </c:pt>
                <c:pt idx="34">
                  <c:v>3.5816987226638126</c:v>
                </c:pt>
                <c:pt idx="35">
                  <c:v>2.6805028766560013</c:v>
                </c:pt>
                <c:pt idx="36">
                  <c:v>2.6362437147388702</c:v>
                </c:pt>
                <c:pt idx="37">
                  <c:v>2.4072254733124812</c:v>
                </c:pt>
                <c:pt idx="38">
                  <c:v>1.6893117445835415</c:v>
                </c:pt>
                <c:pt idx="39">
                  <c:v>0.99723569575807824</c:v>
                </c:pt>
                <c:pt idx="40">
                  <c:v>1.0112472262365595</c:v>
                </c:pt>
                <c:pt idx="41">
                  <c:v>0.14173664854552845</c:v>
                </c:pt>
                <c:pt idx="42">
                  <c:v>0.13129119326631136</c:v>
                </c:pt>
                <c:pt idx="43">
                  <c:v>0.10500111001846277</c:v>
                </c:pt>
                <c:pt idx="44">
                  <c:v>0.13141022968122271</c:v>
                </c:pt>
                <c:pt idx="45">
                  <c:v>0.13133080860215057</c:v>
                </c:pt>
                <c:pt idx="46">
                  <c:v>0.13133080860215057</c:v>
                </c:pt>
                <c:pt idx="47">
                  <c:v>0.13133080860215057</c:v>
                </c:pt>
                <c:pt idx="48">
                  <c:v>0.13133080860215057</c:v>
                </c:pt>
                <c:pt idx="49">
                  <c:v>0.13133080860215057</c:v>
                </c:pt>
                <c:pt idx="50">
                  <c:v>0.13133080860215057</c:v>
                </c:pt>
                <c:pt idx="51">
                  <c:v>0.13133080860215057</c:v>
                </c:pt>
                <c:pt idx="52">
                  <c:v>0.13133080860215057</c:v>
                </c:pt>
                <c:pt idx="53">
                  <c:v>0.13133080860215057</c:v>
                </c:pt>
                <c:pt idx="54">
                  <c:v>0.13133080860215057</c:v>
                </c:pt>
                <c:pt idx="55">
                  <c:v>0.13133080860215057</c:v>
                </c:pt>
                <c:pt idx="56">
                  <c:v>0.13133080860215057</c:v>
                </c:pt>
                <c:pt idx="57">
                  <c:v>0.13133080860215057</c:v>
                </c:pt>
                <c:pt idx="58">
                  <c:v>0.13133080860215057</c:v>
                </c:pt>
                <c:pt idx="59">
                  <c:v>0.13133080860215057</c:v>
                </c:pt>
                <c:pt idx="60">
                  <c:v>0.13133080860215057</c:v>
                </c:pt>
                <c:pt idx="61">
                  <c:v>0.13133080860215057</c:v>
                </c:pt>
                <c:pt idx="62">
                  <c:v>0.13133080860215057</c:v>
                </c:pt>
                <c:pt idx="63">
                  <c:v>0.13133080860215057</c:v>
                </c:pt>
                <c:pt idx="64">
                  <c:v>0.13133080860215057</c:v>
                </c:pt>
                <c:pt idx="65">
                  <c:v>0.13133080860215057</c:v>
                </c:pt>
                <c:pt idx="66">
                  <c:v>0.13133080860215057</c:v>
                </c:pt>
                <c:pt idx="67">
                  <c:v>0.13133080860215057</c:v>
                </c:pt>
                <c:pt idx="68">
                  <c:v>0.13133080860215057</c:v>
                </c:pt>
                <c:pt idx="69">
                  <c:v>0.13133080860215057</c:v>
                </c:pt>
                <c:pt idx="70">
                  <c:v>0.13133080860215057</c:v>
                </c:pt>
                <c:pt idx="71">
                  <c:v>0.13133080860215057</c:v>
                </c:pt>
                <c:pt idx="72">
                  <c:v>0.13133080860215057</c:v>
                </c:pt>
                <c:pt idx="73">
                  <c:v>0.13133080860215057</c:v>
                </c:pt>
                <c:pt idx="74">
                  <c:v>0.13133080860215057</c:v>
                </c:pt>
                <c:pt idx="75">
                  <c:v>0.13133080860215057</c:v>
                </c:pt>
                <c:pt idx="76">
                  <c:v>0.13133080860215057</c:v>
                </c:pt>
                <c:pt idx="77">
                  <c:v>0.13133080860215057</c:v>
                </c:pt>
                <c:pt idx="78">
                  <c:v>0.13133080860215057</c:v>
                </c:pt>
                <c:pt idx="79">
                  <c:v>0.13133080860215057</c:v>
                </c:pt>
                <c:pt idx="80">
                  <c:v>0.13133080860215057</c:v>
                </c:pt>
                <c:pt idx="81">
                  <c:v>0.13133080860215057</c:v>
                </c:pt>
                <c:pt idx="82">
                  <c:v>0.13133080860215057</c:v>
                </c:pt>
                <c:pt idx="83">
                  <c:v>0.13133080860215057</c:v>
                </c:pt>
                <c:pt idx="84">
                  <c:v>0.13133080860215057</c:v>
                </c:pt>
                <c:pt idx="85">
                  <c:v>0.13133080860215057</c:v>
                </c:pt>
                <c:pt idx="86">
                  <c:v>0.13133080860215057</c:v>
                </c:pt>
                <c:pt idx="87">
                  <c:v>0.13133080860215057</c:v>
                </c:pt>
                <c:pt idx="88">
                  <c:v>0.13133080860215057</c:v>
                </c:pt>
                <c:pt idx="89">
                  <c:v>0.13133080860215057</c:v>
                </c:pt>
                <c:pt idx="90">
                  <c:v>0.13133080860215057</c:v>
                </c:pt>
              </c:numCache>
            </c:numRef>
          </c:xVal>
          <c:yVal>
            <c:numRef>
              <c:f>'UT-GOM2-1-H005-6FB-2 21.5-41.5'!$AC$6:$AC$500</c:f>
              <c:numCache>
                <c:formatCode>0.0</c:formatCode>
                <c:ptCount val="495"/>
                <c:pt idx="0">
                  <c:v>24.3</c:v>
                </c:pt>
                <c:pt idx="1">
                  <c:v>19.2</c:v>
                </c:pt>
                <c:pt idx="2">
                  <c:v>19.2</c:v>
                </c:pt>
                <c:pt idx="3">
                  <c:v>9.6</c:v>
                </c:pt>
                <c:pt idx="4">
                  <c:v>7.6400000000000006</c:v>
                </c:pt>
                <c:pt idx="5">
                  <c:v>6.15</c:v>
                </c:pt>
                <c:pt idx="6">
                  <c:v>5.32</c:v>
                </c:pt>
                <c:pt idx="7">
                  <c:v>4.87</c:v>
                </c:pt>
                <c:pt idx="8">
                  <c:v>4.5299999999999994</c:v>
                </c:pt>
                <c:pt idx="9">
                  <c:v>4.32</c:v>
                </c:pt>
                <c:pt idx="10">
                  <c:v>4.51</c:v>
                </c:pt>
                <c:pt idx="11">
                  <c:v>4.91</c:v>
                </c:pt>
                <c:pt idx="12">
                  <c:v>4.4700000000000006</c:v>
                </c:pt>
                <c:pt idx="13">
                  <c:v>3.5799999999999996</c:v>
                </c:pt>
                <c:pt idx="14">
                  <c:v>3.85</c:v>
                </c:pt>
                <c:pt idx="15">
                  <c:v>4.8</c:v>
                </c:pt>
                <c:pt idx="16">
                  <c:v>3.71</c:v>
                </c:pt>
                <c:pt idx="17">
                  <c:v>3.63</c:v>
                </c:pt>
                <c:pt idx="18">
                  <c:v>3.44</c:v>
                </c:pt>
                <c:pt idx="19">
                  <c:v>3.9200000000000004</c:v>
                </c:pt>
                <c:pt idx="20">
                  <c:v>4.6399999999999997</c:v>
                </c:pt>
                <c:pt idx="21">
                  <c:v>4.1100000000000003</c:v>
                </c:pt>
                <c:pt idx="22">
                  <c:v>4.21</c:v>
                </c:pt>
                <c:pt idx="23">
                  <c:v>3.6700000000000004</c:v>
                </c:pt>
                <c:pt idx="24">
                  <c:v>3.56</c:v>
                </c:pt>
                <c:pt idx="25">
                  <c:v>3.4299999999999997</c:v>
                </c:pt>
                <c:pt idx="26">
                  <c:v>4.16</c:v>
                </c:pt>
                <c:pt idx="27">
                  <c:v>3.69</c:v>
                </c:pt>
                <c:pt idx="28">
                  <c:v>4.1899999999999995</c:v>
                </c:pt>
                <c:pt idx="29">
                  <c:v>3.6700000000000004</c:v>
                </c:pt>
                <c:pt idx="30">
                  <c:v>3.87</c:v>
                </c:pt>
                <c:pt idx="31">
                  <c:v>3.34</c:v>
                </c:pt>
                <c:pt idx="32">
                  <c:v>3.3899999999999997</c:v>
                </c:pt>
                <c:pt idx="33">
                  <c:v>2.88</c:v>
                </c:pt>
                <c:pt idx="34">
                  <c:v>2.6399999999999997</c:v>
                </c:pt>
                <c:pt idx="35">
                  <c:v>1.97</c:v>
                </c:pt>
                <c:pt idx="36">
                  <c:v>1.9100000000000001</c:v>
                </c:pt>
                <c:pt idx="37">
                  <c:v>1.7399999999999998</c:v>
                </c:pt>
                <c:pt idx="38">
                  <c:v>1.2029999999999998</c:v>
                </c:pt>
                <c:pt idx="39">
                  <c:v>0.67</c:v>
                </c:pt>
                <c:pt idx="40">
                  <c:v>0.67</c:v>
                </c:pt>
                <c:pt idx="41">
                  <c:v>0.01</c:v>
                </c:pt>
                <c:pt idx="42">
                  <c:v>0</c:v>
                </c:pt>
                <c:pt idx="43">
                  <c:v>-0.02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652-46E5-91B5-BC41AB6528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7337088"/>
        <c:axId val="297337648"/>
      </c:scatterChart>
      <c:valAx>
        <c:axId val="297337088"/>
        <c:scaling>
          <c:orientation val="minMax"/>
          <c:min val="0"/>
        </c:scaling>
        <c:delete val="0"/>
        <c:axPos val="b"/>
        <c:minorGridlines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400" baseline="0"/>
                  <a:t>Volume CH4 @ STP (L)</a:t>
                </a:r>
              </a:p>
            </c:rich>
          </c:tx>
          <c:layout>
            <c:manualLayout>
              <c:xMode val="edge"/>
              <c:yMode val="edge"/>
              <c:x val="0.41233031674208098"/>
              <c:y val="0.9517440718157179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97337648"/>
        <c:crosses val="autoZero"/>
        <c:crossBetween val="midCat"/>
        <c:minorUnit val="1"/>
      </c:valAx>
      <c:valAx>
        <c:axId val="297337648"/>
        <c:scaling>
          <c:orientation val="minMax"/>
          <c:max val="25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400" baseline="0"/>
                  <a:t>Pressure (MPa)</a:t>
                </a:r>
              </a:p>
            </c:rich>
          </c:tx>
          <c:layout>
            <c:manualLayout>
              <c:xMode val="edge"/>
              <c:yMode val="edge"/>
              <c:x val="1.26675465057818E-2"/>
              <c:y val="0.4061353319783200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97337088"/>
        <c:crosses val="autoZero"/>
        <c:crossBetween val="midCat"/>
      </c:valAx>
      <c:spPr>
        <a:solidFill>
          <a:schemeClr val="bg1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0936148818501801"/>
          <c:y val="0.14454454607046099"/>
          <c:w val="0.31237179487179501"/>
          <c:h val="0.1050558943089429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>
      <a:solidFill>
        <a:schemeClr val="tx1"/>
      </a:solidFill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" r="0.75" t="1" header="0.5" footer="0.5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190500</xdr:colOff>
      <xdr:row>7</xdr:row>
      <xdr:rowOff>47625</xdr:rowOff>
    </xdr:from>
    <xdr:to>
      <xdr:col>9</xdr:col>
      <xdr:colOff>352425</xdr:colOff>
      <xdr:row>35</xdr:row>
      <xdr:rowOff>38100</xdr:rowOff>
    </xdr:to>
    <xdr:sp macro="" textlink="">
      <xdr:nvSpPr>
        <xdr:cNvPr id="17" name="Rectangle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>
          <a:off x="1524000" y="1181100"/>
          <a:ext cx="4829175" cy="4524375"/>
        </a:xfrm>
        <a:prstGeom prst="rect">
          <a:avLst/>
        </a:prstGeom>
        <a:solidFill>
          <a:schemeClr val="accent4">
            <a:lumMod val="20000"/>
            <a:lumOff val="80000"/>
            <a:alpha val="33000"/>
          </a:schemeClr>
        </a:solidFill>
        <a:ln>
          <a:noFill/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wrap="square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absoluteAnchor>
    <xdr:pos x="672645" y="431497"/>
    <xdr:ext cx="7956000" cy="59040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oneCellAnchor>
    <xdr:from>
      <xdr:col>2</xdr:col>
      <xdr:colOff>266700</xdr:colOff>
      <xdr:row>28</xdr:row>
      <xdr:rowOff>95250</xdr:rowOff>
    </xdr:from>
    <xdr:ext cx="326436" cy="264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1600200" y="4629150"/>
          <a:ext cx="32643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/>
            <a:t>#1</a:t>
          </a:r>
        </a:p>
      </xdr:txBody>
    </xdr:sp>
    <xdr:clientData/>
  </xdr:oneCellAnchor>
  <xdr:oneCellAnchor>
    <xdr:from>
      <xdr:col>2</xdr:col>
      <xdr:colOff>361950</xdr:colOff>
      <xdr:row>30</xdr:row>
      <xdr:rowOff>142875</xdr:rowOff>
    </xdr:from>
    <xdr:ext cx="591893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1695450" y="5000625"/>
          <a:ext cx="59189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/>
            <a:t>#1 ABC</a:t>
          </a:r>
        </a:p>
      </xdr:txBody>
    </xdr:sp>
    <xdr:clientData/>
  </xdr:oneCellAnchor>
  <xdr:oneCellAnchor>
    <xdr:from>
      <xdr:col>3</xdr:col>
      <xdr:colOff>76200</xdr:colOff>
      <xdr:row>27</xdr:row>
      <xdr:rowOff>47625</xdr:rowOff>
    </xdr:from>
    <xdr:ext cx="326436" cy="264560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2076450" y="4419600"/>
          <a:ext cx="32643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/>
            <a:t>#2</a:t>
          </a:r>
        </a:p>
      </xdr:txBody>
    </xdr:sp>
    <xdr:clientData/>
  </xdr:oneCellAnchor>
  <xdr:oneCellAnchor>
    <xdr:from>
      <xdr:col>3</xdr:col>
      <xdr:colOff>180975</xdr:colOff>
      <xdr:row>30</xdr:row>
      <xdr:rowOff>19050</xdr:rowOff>
    </xdr:from>
    <xdr:ext cx="591893" cy="264560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2181225" y="4876800"/>
          <a:ext cx="59189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/>
            <a:t>#2 ABC</a:t>
          </a:r>
        </a:p>
      </xdr:txBody>
    </xdr:sp>
    <xdr:clientData/>
  </xdr:oneCellAnchor>
  <xdr:oneCellAnchor>
    <xdr:from>
      <xdr:col>3</xdr:col>
      <xdr:colOff>590550</xdr:colOff>
      <xdr:row>28</xdr:row>
      <xdr:rowOff>0</xdr:rowOff>
    </xdr:from>
    <xdr:ext cx="326436" cy="264560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/>
      </xdr:nvSpPr>
      <xdr:spPr>
        <a:xfrm>
          <a:off x="2590800" y="4533900"/>
          <a:ext cx="32643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/>
            <a:t>#3</a:t>
          </a:r>
        </a:p>
      </xdr:txBody>
    </xdr:sp>
    <xdr:clientData/>
  </xdr:oneCellAnchor>
  <xdr:oneCellAnchor>
    <xdr:from>
      <xdr:col>4</xdr:col>
      <xdr:colOff>38100</xdr:colOff>
      <xdr:row>30</xdr:row>
      <xdr:rowOff>104775</xdr:rowOff>
    </xdr:from>
    <xdr:ext cx="591893" cy="264560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 txBox="1"/>
      </xdr:nvSpPr>
      <xdr:spPr>
        <a:xfrm>
          <a:off x="2705100" y="4962525"/>
          <a:ext cx="59189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/>
            <a:t>#3</a:t>
          </a:r>
          <a:r>
            <a:rPr lang="en-US" sz="1100" baseline="0"/>
            <a:t> ABC</a:t>
          </a:r>
          <a:endParaRPr lang="en-US" sz="1100"/>
        </a:p>
      </xdr:txBody>
    </xdr:sp>
    <xdr:clientData/>
  </xdr:oneCellAnchor>
  <xdr:oneCellAnchor>
    <xdr:from>
      <xdr:col>4</xdr:col>
      <xdr:colOff>361950</xdr:colOff>
      <xdr:row>28</xdr:row>
      <xdr:rowOff>142875</xdr:rowOff>
    </xdr:from>
    <xdr:ext cx="326436" cy="264560"/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 txBox="1"/>
      </xdr:nvSpPr>
      <xdr:spPr>
        <a:xfrm>
          <a:off x="3028950" y="4676775"/>
          <a:ext cx="32643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/>
            <a:t>#4</a:t>
          </a:r>
        </a:p>
      </xdr:txBody>
    </xdr:sp>
    <xdr:clientData/>
  </xdr:oneCellAnchor>
  <xdr:oneCellAnchor>
    <xdr:from>
      <xdr:col>4</xdr:col>
      <xdr:colOff>466725</xdr:colOff>
      <xdr:row>31</xdr:row>
      <xdr:rowOff>66675</xdr:rowOff>
    </xdr:from>
    <xdr:ext cx="591893" cy="264560"/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 txBox="1"/>
      </xdr:nvSpPr>
      <xdr:spPr>
        <a:xfrm>
          <a:off x="3133725" y="5086350"/>
          <a:ext cx="59189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/>
            <a:t>#4 ABC</a:t>
          </a:r>
        </a:p>
      </xdr:txBody>
    </xdr:sp>
    <xdr:clientData/>
  </xdr:oneCellAnchor>
  <xdr:oneCellAnchor>
    <xdr:from>
      <xdr:col>5</xdr:col>
      <xdr:colOff>123825</xdr:colOff>
      <xdr:row>29</xdr:row>
      <xdr:rowOff>104775</xdr:rowOff>
    </xdr:from>
    <xdr:ext cx="326436" cy="264560"/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 txBox="1"/>
      </xdr:nvSpPr>
      <xdr:spPr>
        <a:xfrm>
          <a:off x="3457575" y="4800600"/>
          <a:ext cx="32643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/>
            <a:t>#5</a:t>
          </a:r>
        </a:p>
      </xdr:txBody>
    </xdr:sp>
    <xdr:clientData/>
  </xdr:oneCellAnchor>
  <xdr:oneCellAnchor>
    <xdr:from>
      <xdr:col>5</xdr:col>
      <xdr:colOff>504825</xdr:colOff>
      <xdr:row>30</xdr:row>
      <xdr:rowOff>28575</xdr:rowOff>
    </xdr:from>
    <xdr:ext cx="326436" cy="264560"/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 txBox="1"/>
      </xdr:nvSpPr>
      <xdr:spPr>
        <a:xfrm>
          <a:off x="3838575" y="4886325"/>
          <a:ext cx="32643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/>
            <a:t>#6</a:t>
          </a:r>
        </a:p>
      </xdr:txBody>
    </xdr:sp>
    <xdr:clientData/>
  </xdr:oneCellAnchor>
  <xdr:oneCellAnchor>
    <xdr:from>
      <xdr:col>6</xdr:col>
      <xdr:colOff>171450</xdr:colOff>
      <xdr:row>32</xdr:row>
      <xdr:rowOff>152400</xdr:rowOff>
    </xdr:from>
    <xdr:ext cx="591893" cy="264560"/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 txBox="1"/>
      </xdr:nvSpPr>
      <xdr:spPr>
        <a:xfrm>
          <a:off x="4171950" y="5334000"/>
          <a:ext cx="59189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/>
            <a:t>#6</a:t>
          </a:r>
          <a:r>
            <a:rPr lang="en-US" sz="1100" baseline="0"/>
            <a:t> ABC</a:t>
          </a:r>
          <a:endParaRPr lang="en-US" sz="1100"/>
        </a:p>
      </xdr:txBody>
    </xdr:sp>
    <xdr:clientData/>
  </xdr:oneCellAnchor>
  <xdr:oneCellAnchor>
    <xdr:from>
      <xdr:col>6</xdr:col>
      <xdr:colOff>457200</xdr:colOff>
      <xdr:row>31</xdr:row>
      <xdr:rowOff>9525</xdr:rowOff>
    </xdr:from>
    <xdr:ext cx="326436" cy="264560"/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 txBox="1"/>
      </xdr:nvSpPr>
      <xdr:spPr>
        <a:xfrm>
          <a:off x="4457700" y="5029200"/>
          <a:ext cx="32643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/>
            <a:t>#7</a:t>
          </a:r>
        </a:p>
      </xdr:txBody>
    </xdr:sp>
    <xdr:clientData/>
  </xdr:oneCellAnchor>
  <xdr:oneCellAnchor>
    <xdr:from>
      <xdr:col>7</xdr:col>
      <xdr:colOff>361950</xdr:colOff>
      <xdr:row>33</xdr:row>
      <xdr:rowOff>142875</xdr:rowOff>
    </xdr:from>
    <xdr:ext cx="591893" cy="264560"/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 txBox="1"/>
      </xdr:nvSpPr>
      <xdr:spPr>
        <a:xfrm>
          <a:off x="5029200" y="5486400"/>
          <a:ext cx="59189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/>
            <a:t>#7 ABC</a:t>
          </a:r>
        </a:p>
      </xdr:txBody>
    </xdr:sp>
    <xdr:clientData/>
  </xdr:oneCellAnchor>
  <xdr:oneCellAnchor>
    <xdr:from>
      <xdr:col>7</xdr:col>
      <xdr:colOff>542925</xdr:colOff>
      <xdr:row>31</xdr:row>
      <xdr:rowOff>142875</xdr:rowOff>
    </xdr:from>
    <xdr:ext cx="326436" cy="264560"/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 txBox="1"/>
      </xdr:nvSpPr>
      <xdr:spPr>
        <a:xfrm>
          <a:off x="5210175" y="5162550"/>
          <a:ext cx="32643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/>
            <a:t>#8</a:t>
          </a:r>
        </a:p>
      </xdr:txBody>
    </xdr:sp>
    <xdr:clientData/>
  </xdr:oneCellAnchor>
  <xdr:oneCellAnchor>
    <xdr:from>
      <xdr:col>8</xdr:col>
      <xdr:colOff>609600</xdr:colOff>
      <xdr:row>34</xdr:row>
      <xdr:rowOff>142875</xdr:rowOff>
    </xdr:from>
    <xdr:ext cx="591893" cy="264560"/>
    <xdr:sp macro="" textlink="">
      <xdr:nvSpPr>
        <xdr:cNvPr id="20" name="TextBox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 txBox="1"/>
      </xdr:nvSpPr>
      <xdr:spPr>
        <a:xfrm>
          <a:off x="5943600" y="5648325"/>
          <a:ext cx="59189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/>
            <a:t>#8 ABC</a:t>
          </a:r>
        </a:p>
      </xdr:txBody>
    </xdr:sp>
    <xdr:clientData/>
  </xdr:oneCellAnchor>
  <xdr:oneCellAnchor>
    <xdr:from>
      <xdr:col>9</xdr:col>
      <xdr:colOff>200025</xdr:colOff>
      <xdr:row>33</xdr:row>
      <xdr:rowOff>9525</xdr:rowOff>
    </xdr:from>
    <xdr:ext cx="326436" cy="264560"/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 txBox="1"/>
      </xdr:nvSpPr>
      <xdr:spPr>
        <a:xfrm>
          <a:off x="6200775" y="5353050"/>
          <a:ext cx="32643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/>
            <a:t>#9</a:t>
          </a:r>
        </a:p>
      </xdr:txBody>
    </xdr:sp>
    <xdr:clientData/>
  </xdr:oneCellAnchor>
  <xdr:oneCellAnchor>
    <xdr:from>
      <xdr:col>10</xdr:col>
      <xdr:colOff>57150</xdr:colOff>
      <xdr:row>33</xdr:row>
      <xdr:rowOff>104775</xdr:rowOff>
    </xdr:from>
    <xdr:ext cx="397929" cy="264560"/>
    <xdr:sp macro="" textlink="">
      <xdr:nvSpPr>
        <xdr:cNvPr id="22" name="TextBox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 txBox="1"/>
      </xdr:nvSpPr>
      <xdr:spPr>
        <a:xfrm>
          <a:off x="6724650" y="5448300"/>
          <a:ext cx="39792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/>
            <a:t>#10</a:t>
          </a:r>
        </a:p>
      </xdr:txBody>
    </xdr:sp>
    <xdr:clientData/>
  </xdr:oneCellAnchor>
  <xdr:oneCellAnchor>
    <xdr:from>
      <xdr:col>9</xdr:col>
      <xdr:colOff>552450</xdr:colOff>
      <xdr:row>35</xdr:row>
      <xdr:rowOff>28575</xdr:rowOff>
    </xdr:from>
    <xdr:ext cx="663387" cy="264560"/>
    <xdr:sp macro="" textlink="">
      <xdr:nvSpPr>
        <xdr:cNvPr id="23" name="TextBox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 txBox="1"/>
      </xdr:nvSpPr>
      <xdr:spPr>
        <a:xfrm>
          <a:off x="6553200" y="5695950"/>
          <a:ext cx="66338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/>
            <a:t>#10</a:t>
          </a:r>
          <a:r>
            <a:rPr lang="en-US" sz="1100" baseline="0"/>
            <a:t> ABC</a:t>
          </a:r>
          <a:endParaRPr lang="en-US" sz="1100"/>
        </a:p>
      </xdr:txBody>
    </xdr:sp>
    <xdr:clientData/>
  </xdr:oneCellAnchor>
  <xdr:oneCellAnchor>
    <xdr:from>
      <xdr:col>10</xdr:col>
      <xdr:colOff>304800</xdr:colOff>
      <xdr:row>33</xdr:row>
      <xdr:rowOff>123825</xdr:rowOff>
    </xdr:from>
    <xdr:ext cx="397929" cy="264560"/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 txBox="1"/>
      </xdr:nvSpPr>
      <xdr:spPr>
        <a:xfrm>
          <a:off x="6972300" y="5467350"/>
          <a:ext cx="39792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/>
            <a:t>#11</a:t>
          </a:r>
        </a:p>
      </xdr:txBody>
    </xdr:sp>
    <xdr:clientData/>
  </xdr:oneCellAnchor>
  <xdr:oneCellAnchor>
    <xdr:from>
      <xdr:col>10</xdr:col>
      <xdr:colOff>371475</xdr:colOff>
      <xdr:row>35</xdr:row>
      <xdr:rowOff>57150</xdr:rowOff>
    </xdr:from>
    <xdr:ext cx="663387" cy="264560"/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 txBox="1"/>
      </xdr:nvSpPr>
      <xdr:spPr>
        <a:xfrm>
          <a:off x="7038975" y="5724525"/>
          <a:ext cx="66338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/>
            <a:t>#11 ABC</a:t>
          </a:r>
        </a:p>
      </xdr:txBody>
    </xdr:sp>
    <xdr:clientData/>
  </xdr:oneCellAnchor>
  <xdr:twoCellAnchor>
    <xdr:from>
      <xdr:col>9</xdr:col>
      <xdr:colOff>371475</xdr:colOff>
      <xdr:row>42</xdr:row>
      <xdr:rowOff>104775</xdr:rowOff>
    </xdr:from>
    <xdr:to>
      <xdr:col>10</xdr:col>
      <xdr:colOff>638175</xdr:colOff>
      <xdr:row>42</xdr:row>
      <xdr:rowOff>104775</xdr:rowOff>
    </xdr:to>
    <xdr:cxnSp macro="">
      <xdr:nvCxnSpPr>
        <xdr:cNvPr id="27" name="Straight Arrow Connector 26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CxnSpPr/>
      </xdr:nvCxnSpPr>
      <xdr:spPr>
        <a:xfrm>
          <a:off x="6372225" y="6905625"/>
          <a:ext cx="933450" cy="0"/>
        </a:xfrm>
        <a:prstGeom prst="straightConnector1">
          <a:avLst/>
        </a:prstGeom>
        <a:ln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4</xdr:col>
      <xdr:colOff>180975</xdr:colOff>
      <xdr:row>10</xdr:row>
      <xdr:rowOff>66675</xdr:rowOff>
    </xdr:from>
    <xdr:ext cx="266291" cy="264560"/>
    <xdr:sp macro="" textlink="">
      <xdr:nvSpPr>
        <xdr:cNvPr id="32" name="TextBox 31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 txBox="1"/>
      </xdr:nvSpPr>
      <xdr:spPr>
        <a:xfrm>
          <a:off x="2847975" y="1685925"/>
          <a:ext cx="26629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/>
            <a:t>A</a:t>
          </a:r>
        </a:p>
      </xdr:txBody>
    </xdr:sp>
    <xdr:clientData/>
  </xdr:oneCellAnchor>
  <xdr:oneCellAnchor>
    <xdr:from>
      <xdr:col>5</xdr:col>
      <xdr:colOff>371475</xdr:colOff>
      <xdr:row>11</xdr:row>
      <xdr:rowOff>19050</xdr:rowOff>
    </xdr:from>
    <xdr:ext cx="259879" cy="264560"/>
    <xdr:sp macro="" textlink="">
      <xdr:nvSpPr>
        <xdr:cNvPr id="33" name="TextBox 32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SpPr txBox="1"/>
      </xdr:nvSpPr>
      <xdr:spPr>
        <a:xfrm>
          <a:off x="3705225" y="1800225"/>
          <a:ext cx="25987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/>
            <a:t>C</a:t>
          </a:r>
        </a:p>
      </xdr:txBody>
    </xdr:sp>
    <xdr:clientData/>
  </xdr:oneCellAnchor>
  <xdr:oneCellAnchor>
    <xdr:from>
      <xdr:col>6</xdr:col>
      <xdr:colOff>342900</xdr:colOff>
      <xdr:row>14</xdr:row>
      <xdr:rowOff>9525</xdr:rowOff>
    </xdr:from>
    <xdr:ext cx="271485" cy="264560"/>
    <xdr:sp macro="" textlink="">
      <xdr:nvSpPr>
        <xdr:cNvPr id="34" name="TextBox 33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SpPr txBox="1"/>
      </xdr:nvSpPr>
      <xdr:spPr>
        <a:xfrm>
          <a:off x="4343400" y="2276475"/>
          <a:ext cx="27148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/>
            <a:t>D</a:t>
          </a:r>
        </a:p>
      </xdr:txBody>
    </xdr:sp>
    <xdr:clientData/>
  </xdr:oneCellAnchor>
  <xdr:oneCellAnchor>
    <xdr:from>
      <xdr:col>7</xdr:col>
      <xdr:colOff>523875</xdr:colOff>
      <xdr:row>13</xdr:row>
      <xdr:rowOff>104775</xdr:rowOff>
    </xdr:from>
    <xdr:ext cx="253531" cy="264560"/>
    <xdr:sp macro="" textlink="">
      <xdr:nvSpPr>
        <xdr:cNvPr id="35" name="TextBox 34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SpPr txBox="1"/>
      </xdr:nvSpPr>
      <xdr:spPr>
        <a:xfrm>
          <a:off x="5191125" y="2209800"/>
          <a:ext cx="2535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/>
            <a:t>E</a:t>
          </a:r>
        </a:p>
      </xdr:txBody>
    </xdr:sp>
    <xdr:clientData/>
  </xdr:oneCellAnchor>
  <xdr:oneCellAnchor>
    <xdr:from>
      <xdr:col>10</xdr:col>
      <xdr:colOff>219075</xdr:colOff>
      <xdr:row>20</xdr:row>
      <xdr:rowOff>57150</xdr:rowOff>
    </xdr:from>
    <xdr:ext cx="272575" cy="264560"/>
    <xdr:sp macro="" textlink="">
      <xdr:nvSpPr>
        <xdr:cNvPr id="36" name="TextBox 35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SpPr txBox="1"/>
      </xdr:nvSpPr>
      <xdr:spPr>
        <a:xfrm>
          <a:off x="6886575" y="3295650"/>
          <a:ext cx="272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/>
            <a:t>H</a:t>
          </a:r>
        </a:p>
      </xdr:txBody>
    </xdr:sp>
    <xdr:clientData/>
  </xdr:oneCellAnchor>
  <xdr:oneCellAnchor>
    <xdr:from>
      <xdr:col>10</xdr:col>
      <xdr:colOff>504825</xdr:colOff>
      <xdr:row>25</xdr:row>
      <xdr:rowOff>47625</xdr:rowOff>
    </xdr:from>
    <xdr:ext cx="229615" cy="264560"/>
    <xdr:sp macro="" textlink="">
      <xdr:nvSpPr>
        <xdr:cNvPr id="37" name="TextBox 36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SpPr txBox="1"/>
      </xdr:nvSpPr>
      <xdr:spPr>
        <a:xfrm>
          <a:off x="7172325" y="4095750"/>
          <a:ext cx="22961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/>
            <a:t>J</a:t>
          </a:r>
        </a:p>
      </xdr:txBody>
    </xdr:sp>
    <xdr:clientData/>
  </xdr:oneCellAnchor>
  <xdr:oneCellAnchor>
    <xdr:from>
      <xdr:col>9</xdr:col>
      <xdr:colOff>304800</xdr:colOff>
      <xdr:row>41</xdr:row>
      <xdr:rowOff>0</xdr:rowOff>
    </xdr:from>
    <xdr:ext cx="1008609" cy="264560"/>
    <xdr:sp macro="" textlink="">
      <xdr:nvSpPr>
        <xdr:cNvPr id="38" name="TextBox 37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SpPr txBox="1"/>
      </xdr:nvSpPr>
      <xdr:spPr>
        <a:xfrm>
          <a:off x="6305550" y="6638925"/>
          <a:ext cx="100860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/>
            <a:t>iC4 detectable</a:t>
          </a:r>
        </a:p>
      </xdr:txBody>
    </xdr:sp>
    <xdr:clientData/>
  </xdr:oneCellAnchor>
  <xdr:twoCellAnchor>
    <xdr:from>
      <xdr:col>6</xdr:col>
      <xdr:colOff>561975</xdr:colOff>
      <xdr:row>43</xdr:row>
      <xdr:rowOff>114300</xdr:rowOff>
    </xdr:from>
    <xdr:to>
      <xdr:col>10</xdr:col>
      <xdr:colOff>647700</xdr:colOff>
      <xdr:row>43</xdr:row>
      <xdr:rowOff>114300</xdr:rowOff>
    </xdr:to>
    <xdr:cxnSp macro="">
      <xdr:nvCxnSpPr>
        <xdr:cNvPr id="39" name="Straight Arrow Connector 38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CxnSpPr/>
      </xdr:nvCxnSpPr>
      <xdr:spPr>
        <a:xfrm>
          <a:off x="4562475" y="7077075"/>
          <a:ext cx="2752725" cy="0"/>
        </a:xfrm>
        <a:prstGeom prst="straightConnector1">
          <a:avLst/>
        </a:prstGeom>
        <a:ln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7</xdr:col>
      <xdr:colOff>381000</xdr:colOff>
      <xdr:row>42</xdr:row>
      <xdr:rowOff>47625</xdr:rowOff>
    </xdr:from>
    <xdr:ext cx="1050352" cy="264560"/>
    <xdr:sp macro="" textlink="">
      <xdr:nvSpPr>
        <xdr:cNvPr id="41" name="TextBox 40">
          <a:extLst>
            <a:ext uri="{FF2B5EF4-FFF2-40B4-BE49-F238E27FC236}">
              <a16:creationId xmlns:a16="http://schemas.microsoft.com/office/drawing/2014/main" id="{00000000-0008-0000-0100-000029000000}"/>
            </a:ext>
          </a:extLst>
        </xdr:cNvPr>
        <xdr:cNvSpPr txBox="1"/>
      </xdr:nvSpPr>
      <xdr:spPr>
        <a:xfrm>
          <a:off x="5048250" y="6848475"/>
          <a:ext cx="1050352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/>
            <a:t>nC4 detectable</a:t>
          </a:r>
        </a:p>
      </xdr:txBody>
    </xdr:sp>
    <xdr:clientData/>
  </xdr:oneCellAnchor>
  <xdr:twoCellAnchor>
    <xdr:from>
      <xdr:col>2</xdr:col>
      <xdr:colOff>266700</xdr:colOff>
      <xdr:row>41</xdr:row>
      <xdr:rowOff>0</xdr:rowOff>
    </xdr:from>
    <xdr:to>
      <xdr:col>10</xdr:col>
      <xdr:colOff>628650</xdr:colOff>
      <xdr:row>41</xdr:row>
      <xdr:rowOff>2</xdr:rowOff>
    </xdr:to>
    <xdr:cxnSp macro="">
      <xdr:nvCxnSpPr>
        <xdr:cNvPr id="43" name="Straight Arrow Connector 42">
          <a:extLs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CxnSpPr/>
      </xdr:nvCxnSpPr>
      <xdr:spPr>
        <a:xfrm flipV="1">
          <a:off x="1600200" y="6638925"/>
          <a:ext cx="5695950" cy="2"/>
        </a:xfrm>
        <a:prstGeom prst="straightConnector1">
          <a:avLst/>
        </a:prstGeom>
        <a:ln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5</xdr:col>
      <xdr:colOff>619125</xdr:colOff>
      <xdr:row>39</xdr:row>
      <xdr:rowOff>66675</xdr:rowOff>
    </xdr:from>
    <xdr:ext cx="1264129" cy="264560"/>
    <xdr:sp macro="" textlink="">
      <xdr:nvSpPr>
        <xdr:cNvPr id="47" name="TextBox 46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SpPr txBox="1"/>
      </xdr:nvSpPr>
      <xdr:spPr>
        <a:xfrm>
          <a:off x="3952875" y="6381750"/>
          <a:ext cx="126412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/>
            <a:t>C3, nC5 detectable</a:t>
          </a:r>
        </a:p>
      </xdr:txBody>
    </xdr:sp>
    <xdr:clientData/>
  </xdr:one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0.29124</cdr:x>
      <cdr:y>0.03465</cdr:y>
    </cdr:from>
    <cdr:to>
      <cdr:x>0.74495</cdr:x>
      <cdr:y>0.11339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317120" y="204574"/>
          <a:ext cx="3609717" cy="46488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en-GB" sz="2400" b="1">
              <a:latin typeface="Arial" panose="020B0604020202020204" pitchFamily="34" charset="0"/>
              <a:cs typeface="Arial" panose="020B0604020202020204" pitchFamily="34" charset="0"/>
            </a:rPr>
            <a:t>UT-GOM2-1-H005-6FB-2 21.5-41.5</a:t>
          </a:r>
          <a:r>
            <a:rPr lang="en-GB" sz="2400" b="1" baseline="0">
              <a:latin typeface="Arial" panose="020B0604020202020204" pitchFamily="34" charset="0"/>
              <a:cs typeface="Arial" panose="020B0604020202020204" pitchFamily="34" charset="0"/>
            </a:rPr>
            <a:t> cm</a:t>
          </a:r>
          <a:endParaRPr lang="en-GB" sz="2400" b="1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0.24229</cdr:x>
      <cdr:y>0.13181</cdr:y>
    </cdr:from>
    <cdr:to>
      <cdr:x>0.35722</cdr:x>
      <cdr:y>0.28668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1927680" y="778178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600"/>
            <a:t>Hydrate dissociation ocurring</a:t>
          </a:r>
        </a:p>
      </cdr:txBody>
    </cdr:sp>
  </cdr:relSizeAnchor>
  <cdr:relSizeAnchor xmlns:cdr="http://schemas.openxmlformats.org/drawingml/2006/chartDrawing">
    <cdr:from>
      <cdr:x>0.35836</cdr:x>
      <cdr:y>0.80397</cdr:y>
    </cdr:from>
    <cdr:to>
      <cdr:x>0.43276</cdr:x>
      <cdr:y>0.84878</cdr:y>
    </cdr:to>
    <cdr:sp macro="" textlink="">
      <cdr:nvSpPr>
        <cdr:cNvPr id="5" name="TextBox 6"/>
        <cdr:cNvSpPr txBox="1"/>
      </cdr:nvSpPr>
      <cdr:spPr>
        <a:xfrm xmlns:a="http://schemas.openxmlformats.org/drawingml/2006/main">
          <a:off x="2851131" y="4746639"/>
          <a:ext cx="591926" cy="264558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/>
            <a:t>#5 ABC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190500</xdr:colOff>
      <xdr:row>7</xdr:row>
      <xdr:rowOff>47625</xdr:rowOff>
    </xdr:from>
    <xdr:to>
      <xdr:col>9</xdr:col>
      <xdr:colOff>352425</xdr:colOff>
      <xdr:row>35</xdr:row>
      <xdr:rowOff>38100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1524000" y="1181100"/>
          <a:ext cx="4829175" cy="4524375"/>
        </a:xfrm>
        <a:prstGeom prst="rect">
          <a:avLst/>
        </a:prstGeom>
        <a:solidFill>
          <a:schemeClr val="accent4">
            <a:lumMod val="20000"/>
            <a:lumOff val="80000"/>
            <a:alpha val="33000"/>
          </a:schemeClr>
        </a:solidFill>
        <a:ln>
          <a:noFill/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wrap="square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absoluteAnchor>
    <xdr:pos x="672645" y="431497"/>
    <xdr:ext cx="7956000" cy="5904000"/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0.29124</cdr:x>
      <cdr:y>0.03465</cdr:y>
    </cdr:from>
    <cdr:to>
      <cdr:x>0.74495</cdr:x>
      <cdr:y>0.11339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317120" y="204574"/>
          <a:ext cx="3609717" cy="46488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en-GB" sz="2400" b="1">
              <a:latin typeface="Arial" panose="020B0604020202020204" pitchFamily="34" charset="0"/>
              <a:cs typeface="Arial" panose="020B0604020202020204" pitchFamily="34" charset="0"/>
            </a:rPr>
            <a:t>UT-GOM2-1-H005-6FB-2 21.5-41.5</a:t>
          </a:r>
          <a:r>
            <a:rPr lang="en-GB" sz="2400" b="1" baseline="0">
              <a:latin typeface="Arial" panose="020B0604020202020204" pitchFamily="34" charset="0"/>
              <a:cs typeface="Arial" panose="020B0604020202020204" pitchFamily="34" charset="0"/>
            </a:rPr>
            <a:t> cm</a:t>
          </a:r>
          <a:endParaRPr lang="en-GB" sz="2400" b="1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672645" y="431497"/>
    <xdr:ext cx="7956000" cy="59040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0.29124</cdr:x>
      <cdr:y>0.03465</cdr:y>
    </cdr:from>
    <cdr:to>
      <cdr:x>0.74495</cdr:x>
      <cdr:y>0.11339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317120" y="204574"/>
          <a:ext cx="3609717" cy="46488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en-GB" sz="2400" b="1">
              <a:latin typeface="Arial" panose="020B0604020202020204" pitchFamily="34" charset="0"/>
              <a:cs typeface="Arial" panose="020B0604020202020204" pitchFamily="34" charset="0"/>
            </a:rPr>
            <a:t>UT-GOM2-1-H005-6FB-2 21.5-41.5</a:t>
          </a:r>
          <a:r>
            <a:rPr lang="en-GB" sz="2400" b="1" baseline="0">
              <a:latin typeface="Arial" panose="020B0604020202020204" pitchFamily="34" charset="0"/>
              <a:cs typeface="Arial" panose="020B0604020202020204" pitchFamily="34" charset="0"/>
            </a:rPr>
            <a:t> cm</a:t>
          </a:r>
          <a:endParaRPr lang="en-GB" sz="2400" b="1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97"/>
  <sheetViews>
    <sheetView tabSelected="1" topLeftCell="A40" zoomScale="75" zoomScaleNormal="75" zoomScalePageLayoutView="75" workbookViewId="0">
      <selection activeCell="F49" sqref="F49"/>
    </sheetView>
  </sheetViews>
  <sheetFormatPr defaultColWidth="11" defaultRowHeight="12.75" x14ac:dyDescent="0.2"/>
  <cols>
    <col min="1" max="1" width="11.25" style="2" customWidth="1"/>
    <col min="2" max="2" width="15.375" style="2" customWidth="1"/>
    <col min="3" max="3" width="20" customWidth="1"/>
    <col min="4" max="5" width="12.125" customWidth="1"/>
    <col min="6" max="6" width="12.125" style="7" customWidth="1"/>
    <col min="7" max="7" width="12.125" style="1" customWidth="1"/>
    <col min="8" max="8" width="0.375" style="1" customWidth="1"/>
    <col min="9" max="9" width="10.125" style="1" customWidth="1"/>
    <col min="10" max="13" width="13.625" customWidth="1"/>
    <col min="14" max="14" width="16.625" customWidth="1"/>
    <col min="15" max="15" width="53.625" style="6" customWidth="1"/>
    <col min="16" max="16" width="13" style="2" customWidth="1"/>
    <col min="17" max="17" width="13" style="26" customWidth="1"/>
    <col min="18" max="18" width="13" style="27" customWidth="1"/>
    <col min="19" max="19" width="13" style="2" customWidth="1"/>
    <col min="20" max="20" width="13" style="27" customWidth="1"/>
    <col min="21" max="21" width="14.125" style="2" customWidth="1"/>
    <col min="22" max="22" width="13" style="2" customWidth="1"/>
    <col min="23" max="23" width="13" style="26" customWidth="1"/>
    <col min="24" max="24" width="17" style="26" customWidth="1"/>
    <col min="25" max="25" width="13.125" style="26" customWidth="1"/>
    <col min="26" max="26" width="14.875" style="26" customWidth="1"/>
    <col min="27" max="27" width="20.375" style="2" customWidth="1"/>
    <col min="36" max="37" width="12.75" bestFit="1" customWidth="1"/>
  </cols>
  <sheetData>
    <row r="1" spans="1:37" ht="24.95" customHeight="1" x14ac:dyDescent="0.2">
      <c r="A1" s="86" t="s">
        <v>1</v>
      </c>
      <c r="B1" s="87"/>
      <c r="C1" s="87"/>
      <c r="D1" s="87"/>
      <c r="E1" s="87"/>
      <c r="F1" s="88">
        <v>42073</v>
      </c>
      <c r="G1" s="89"/>
      <c r="H1" s="90"/>
      <c r="I1" s="59"/>
      <c r="J1" s="91" t="s">
        <v>11</v>
      </c>
      <c r="K1" s="87"/>
      <c r="L1" s="87"/>
      <c r="M1" s="89" t="s">
        <v>51</v>
      </c>
      <c r="N1" s="89"/>
      <c r="O1" s="90"/>
      <c r="P1" s="3" t="s">
        <v>13</v>
      </c>
      <c r="Q1" s="3" t="s">
        <v>13</v>
      </c>
      <c r="R1" s="3" t="s">
        <v>13</v>
      </c>
      <c r="S1" s="3" t="s">
        <v>13</v>
      </c>
      <c r="T1" s="5" t="s">
        <v>13</v>
      </c>
      <c r="U1" s="3"/>
      <c r="V1" s="5" t="s">
        <v>13</v>
      </c>
      <c r="X1" s="4"/>
      <c r="Y1" s="4"/>
    </row>
    <row r="2" spans="1:37" ht="24.95" customHeight="1" thickBot="1" x14ac:dyDescent="0.25">
      <c r="A2" s="81" t="s">
        <v>10</v>
      </c>
      <c r="B2" s="82"/>
      <c r="C2" s="82"/>
      <c r="D2" s="82"/>
      <c r="E2" s="82"/>
      <c r="F2" s="83">
        <v>1014</v>
      </c>
      <c r="G2" s="83"/>
      <c r="H2" s="84"/>
      <c r="I2" s="60"/>
      <c r="J2" s="85" t="s">
        <v>4</v>
      </c>
      <c r="K2" s="82"/>
      <c r="L2" s="82"/>
      <c r="M2" s="83" t="s">
        <v>40</v>
      </c>
      <c r="N2" s="83"/>
      <c r="O2" s="49">
        <f>IF(M2="red",4025, IF(M2="green",4140,IF(M2="yellow",4122,IF(M2="blue",4059,0))))</f>
        <v>4059</v>
      </c>
      <c r="P2" s="3"/>
      <c r="Q2" s="4"/>
      <c r="R2" s="5" t="s">
        <v>13</v>
      </c>
      <c r="T2" s="5" t="s">
        <v>13</v>
      </c>
      <c r="V2" s="3" t="s">
        <v>13</v>
      </c>
      <c r="W2" s="3" t="s">
        <v>13</v>
      </c>
      <c r="X2" s="3" t="s">
        <v>13</v>
      </c>
      <c r="Y2" s="3"/>
      <c r="Z2" s="3"/>
      <c r="AA2" s="3" t="s">
        <v>13</v>
      </c>
    </row>
    <row r="3" spans="1:37" ht="24.95" customHeight="1" thickBot="1" x14ac:dyDescent="0.25">
      <c r="A3" s="68"/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70"/>
      <c r="R3" s="98" t="s">
        <v>25</v>
      </c>
      <c r="S3" s="99"/>
      <c r="T3" s="100"/>
    </row>
    <row r="4" spans="1:37" ht="24.95" customHeight="1" x14ac:dyDescent="0.2">
      <c r="A4" s="71" t="s">
        <v>17</v>
      </c>
      <c r="B4" s="63" t="s">
        <v>16</v>
      </c>
      <c r="C4" s="73" t="s">
        <v>18</v>
      </c>
      <c r="D4" s="65" t="s">
        <v>21</v>
      </c>
      <c r="E4" s="67"/>
      <c r="F4" s="65" t="s">
        <v>3</v>
      </c>
      <c r="G4" s="66"/>
      <c r="H4" s="39"/>
      <c r="I4" s="39"/>
      <c r="J4" s="75" t="s">
        <v>2</v>
      </c>
      <c r="K4" s="75"/>
      <c r="L4" s="75"/>
      <c r="M4" s="76"/>
      <c r="N4" s="77" t="s">
        <v>42</v>
      </c>
      <c r="O4" s="79" t="s">
        <v>19</v>
      </c>
      <c r="P4" s="97" t="s">
        <v>24</v>
      </c>
      <c r="Q4" s="96"/>
      <c r="R4" s="30" t="s">
        <v>27</v>
      </c>
      <c r="S4" s="101" t="s">
        <v>26</v>
      </c>
      <c r="T4" s="102"/>
      <c r="U4" s="34" t="s">
        <v>28</v>
      </c>
      <c r="V4" s="95" t="s">
        <v>22</v>
      </c>
      <c r="W4" s="96"/>
      <c r="X4" s="92" t="s">
        <v>35</v>
      </c>
      <c r="Y4" s="93"/>
      <c r="Z4" s="94"/>
      <c r="AA4" s="34" t="s">
        <v>23</v>
      </c>
      <c r="AC4" s="34" t="s">
        <v>38</v>
      </c>
      <c r="AE4" s="56"/>
    </row>
    <row r="5" spans="1:37" s="3" customFormat="1" ht="77.25" customHeight="1" thickBot="1" x14ac:dyDescent="0.25">
      <c r="A5" s="72"/>
      <c r="B5" s="64"/>
      <c r="C5" s="74"/>
      <c r="D5" s="40" t="s">
        <v>5</v>
      </c>
      <c r="E5" s="41" t="s">
        <v>6</v>
      </c>
      <c r="F5" s="40" t="s">
        <v>0</v>
      </c>
      <c r="G5" s="41" t="s">
        <v>7</v>
      </c>
      <c r="H5" s="42"/>
      <c r="I5" s="42" t="s">
        <v>54</v>
      </c>
      <c r="J5" s="42" t="s">
        <v>5</v>
      </c>
      <c r="K5" s="41" t="s">
        <v>6</v>
      </c>
      <c r="L5" s="42" t="s">
        <v>8</v>
      </c>
      <c r="M5" s="43" t="s">
        <v>9</v>
      </c>
      <c r="N5" s="78"/>
      <c r="O5" s="80"/>
      <c r="P5" s="37" t="s">
        <v>20</v>
      </c>
      <c r="Q5" s="29" t="s">
        <v>14</v>
      </c>
      <c r="R5" s="31" t="s">
        <v>34</v>
      </c>
      <c r="S5" s="32" t="s">
        <v>15</v>
      </c>
      <c r="T5" s="33" t="s">
        <v>33</v>
      </c>
      <c r="U5" s="35" t="s">
        <v>12</v>
      </c>
      <c r="V5" s="28" t="s">
        <v>32</v>
      </c>
      <c r="W5" s="29" t="s">
        <v>29</v>
      </c>
      <c r="X5" s="36" t="s">
        <v>36</v>
      </c>
      <c r="Y5" s="50" t="s">
        <v>37</v>
      </c>
      <c r="Z5" s="48" t="s">
        <v>30</v>
      </c>
      <c r="AA5" s="35" t="s">
        <v>31</v>
      </c>
      <c r="AC5" s="35" t="s">
        <v>39</v>
      </c>
      <c r="AE5" s="57" t="s">
        <v>49</v>
      </c>
      <c r="AH5" s="3" t="s">
        <v>50</v>
      </c>
      <c r="AJ5" s="3" t="s">
        <v>52</v>
      </c>
      <c r="AK5" s="3" t="s">
        <v>53</v>
      </c>
    </row>
    <row r="6" spans="1:37" s="19" customFormat="1" ht="20.25" customHeight="1" x14ac:dyDescent="0.2">
      <c r="A6" s="8">
        <v>1</v>
      </c>
      <c r="B6" s="9">
        <v>42073</v>
      </c>
      <c r="C6" s="10">
        <v>0.73541666666666661</v>
      </c>
      <c r="D6" s="11">
        <v>252</v>
      </c>
      <c r="E6" s="12">
        <v>243</v>
      </c>
      <c r="F6" s="13">
        <v>0</v>
      </c>
      <c r="G6" s="14">
        <v>2</v>
      </c>
      <c r="H6" s="15"/>
      <c r="I6" s="61"/>
      <c r="J6" s="16">
        <v>1</v>
      </c>
      <c r="K6" s="16">
        <v>1</v>
      </c>
      <c r="L6" s="17">
        <v>0</v>
      </c>
      <c r="M6" s="12">
        <v>6</v>
      </c>
      <c r="N6" s="11"/>
      <c r="O6" s="18"/>
      <c r="P6" s="38">
        <v>0</v>
      </c>
      <c r="Q6" s="38">
        <v>0</v>
      </c>
      <c r="R6" s="44">
        <f t="shared" ref="R6:R37" si="0">F6*$F$2/1000*273/(273+M6)</f>
        <v>0</v>
      </c>
      <c r="S6" s="45">
        <f t="shared" ref="S6:S37" si="1">$O$2-L6</f>
        <v>4059</v>
      </c>
      <c r="T6" s="46">
        <f t="shared" ref="T6:T37" si="2">IF(J6=K6,0,S6*(K6-J6))*273/(273+M6)</f>
        <v>0</v>
      </c>
      <c r="U6" s="52">
        <v>97.4</v>
      </c>
      <c r="V6" s="44">
        <f>(T6+R6)*U6/100</f>
        <v>0</v>
      </c>
      <c r="W6" s="47">
        <f>V6/1000</f>
        <v>0</v>
      </c>
      <c r="X6" s="47">
        <f>(G6+L6)/1000</f>
        <v>2E-3</v>
      </c>
      <c r="Y6" s="47">
        <v>0</v>
      </c>
      <c r="Z6" s="47">
        <f>(X6-Y6)*(E6+1)*1*273/(273+M6)*U6/100</f>
        <v>0.46509023655913978</v>
      </c>
      <c r="AA6" s="47">
        <f>W6+Z6</f>
        <v>0.46509023655913978</v>
      </c>
      <c r="AC6" s="51">
        <f t="shared" ref="AC6:AC37" si="3">E6/10</f>
        <v>24.3</v>
      </c>
      <c r="AH6"/>
      <c r="AJ6" s="19">
        <f>(1/8)^2*PI()*5.25*6</f>
        <v>1.5462526341887264</v>
      </c>
      <c r="AK6" s="19">
        <f>AJ6*16</f>
        <v>24.740042147019622</v>
      </c>
    </row>
    <row r="7" spans="1:37" s="25" customFormat="1" ht="20.25" customHeight="1" x14ac:dyDescent="0.2">
      <c r="A7" s="20">
        <f>A6+1</f>
        <v>2</v>
      </c>
      <c r="B7" s="9">
        <v>42073</v>
      </c>
      <c r="C7" s="10">
        <v>0.73611111111111116</v>
      </c>
      <c r="D7" s="11">
        <v>243</v>
      </c>
      <c r="E7" s="12">
        <v>192</v>
      </c>
      <c r="F7" s="21">
        <v>0</v>
      </c>
      <c r="G7" s="14">
        <v>3</v>
      </c>
      <c r="H7" s="22"/>
      <c r="I7" s="62"/>
      <c r="J7" s="16">
        <v>1</v>
      </c>
      <c r="K7" s="16">
        <v>1</v>
      </c>
      <c r="L7" s="17">
        <v>0</v>
      </c>
      <c r="M7" s="12">
        <v>6</v>
      </c>
      <c r="N7" s="23"/>
      <c r="O7" s="24"/>
      <c r="P7" s="44">
        <f t="shared" ref="P7:P38" si="4">((B7 +C7) - (B6 + C6)) * 24 * 60</f>
        <v>0.99999999278225005</v>
      </c>
      <c r="Q7" s="47">
        <f>Q6+P7/60</f>
        <v>1.6666666546370834E-2</v>
      </c>
      <c r="R7" s="44">
        <f t="shared" si="0"/>
        <v>0</v>
      </c>
      <c r="S7" s="45">
        <f t="shared" si="1"/>
        <v>4059</v>
      </c>
      <c r="T7" s="46">
        <f t="shared" si="2"/>
        <v>0</v>
      </c>
      <c r="U7" s="52">
        <v>97.4</v>
      </c>
      <c r="V7" s="44">
        <f>(T7+R7)*U7/100</f>
        <v>0</v>
      </c>
      <c r="W7" s="47">
        <f>W6+V7/1000</f>
        <v>0</v>
      </c>
      <c r="X7" s="47">
        <f t="shared" ref="X7:X38" si="5">X6+(G7+L7)/1000</f>
        <v>5.0000000000000001E-3</v>
      </c>
      <c r="Y7" s="53">
        <f t="shared" ref="Y7:Y38" si="6">0.026*EXP(-0.016*E7)</f>
        <v>1.2045385385322164E-3</v>
      </c>
      <c r="Z7" s="47">
        <f t="shared" ref="Z7:Z38" si="7">(X7-(Y7-Y6))*(E7+1)*1*273/(273+M7)*U7/100</f>
        <v>0.69813481416039735</v>
      </c>
      <c r="AA7" s="47">
        <f>W7+Z7</f>
        <v>0.69813481416039735</v>
      </c>
      <c r="AC7" s="51">
        <f t="shared" si="3"/>
        <v>19.2</v>
      </c>
    </row>
    <row r="8" spans="1:37" s="25" customFormat="1" ht="20.25" customHeight="1" x14ac:dyDescent="0.2">
      <c r="A8" s="20">
        <f t="shared" ref="A8:A71" si="8">A7+1</f>
        <v>3</v>
      </c>
      <c r="B8" s="9">
        <v>42073</v>
      </c>
      <c r="C8" s="10">
        <v>0.7368055555555556</v>
      </c>
      <c r="D8" s="11">
        <v>193</v>
      </c>
      <c r="E8" s="12">
        <v>192</v>
      </c>
      <c r="F8" s="21">
        <v>0</v>
      </c>
      <c r="G8" s="14">
        <v>3</v>
      </c>
      <c r="H8" s="22"/>
      <c r="I8" s="62"/>
      <c r="J8" s="16">
        <v>1</v>
      </c>
      <c r="K8" s="16">
        <v>1</v>
      </c>
      <c r="L8" s="17">
        <v>0</v>
      </c>
      <c r="M8" s="12">
        <v>6</v>
      </c>
      <c r="N8" s="23"/>
      <c r="O8" s="24"/>
      <c r="P8" s="44">
        <f t="shared" si="4"/>
        <v>1.000000003259629</v>
      </c>
      <c r="Q8" s="47">
        <f t="shared" ref="Q8:Q20" si="9">Q7+P8/60</f>
        <v>3.3333333267364651E-2</v>
      </c>
      <c r="R8" s="44">
        <f t="shared" si="0"/>
        <v>0</v>
      </c>
      <c r="S8" s="45">
        <f t="shared" si="1"/>
        <v>4059</v>
      </c>
      <c r="T8" s="46">
        <f t="shared" si="2"/>
        <v>0</v>
      </c>
      <c r="U8" s="52">
        <v>97.4</v>
      </c>
      <c r="V8" s="44">
        <f t="shared" ref="V8:V20" si="10">(T8+R8)*U8/100</f>
        <v>0</v>
      </c>
      <c r="W8" s="47">
        <f>W7+V8/1000</f>
        <v>0</v>
      </c>
      <c r="X8" s="47">
        <f t="shared" si="5"/>
        <v>8.0000000000000002E-3</v>
      </c>
      <c r="Y8" s="53">
        <f t="shared" si="6"/>
        <v>1.2045385385322164E-3</v>
      </c>
      <c r="Z8" s="47">
        <f t="shared" si="7"/>
        <v>1.4715150107526882</v>
      </c>
      <c r="AA8" s="47">
        <f t="shared" ref="AA8:AA20" si="11">W8+Z8</f>
        <v>1.4715150107526882</v>
      </c>
      <c r="AC8" s="51">
        <f t="shared" si="3"/>
        <v>19.2</v>
      </c>
    </row>
    <row r="9" spans="1:37" s="25" customFormat="1" ht="20.25" customHeight="1" x14ac:dyDescent="0.2">
      <c r="A9" s="20">
        <f t="shared" si="8"/>
        <v>4</v>
      </c>
      <c r="B9" s="9">
        <v>42073</v>
      </c>
      <c r="C9" s="10">
        <v>0.73749999999999993</v>
      </c>
      <c r="D9" s="11">
        <v>148</v>
      </c>
      <c r="E9" s="12">
        <v>96</v>
      </c>
      <c r="F9" s="21">
        <v>0</v>
      </c>
      <c r="G9" s="14">
        <v>4</v>
      </c>
      <c r="H9" s="22"/>
      <c r="I9" s="62"/>
      <c r="J9" s="16">
        <v>1</v>
      </c>
      <c r="K9" s="16">
        <v>1</v>
      </c>
      <c r="L9" s="17">
        <v>0</v>
      </c>
      <c r="M9" s="12">
        <v>6</v>
      </c>
      <c r="N9" s="23"/>
      <c r="O9" s="24"/>
      <c r="P9" s="44">
        <f t="shared" si="4"/>
        <v>1.000000003259629</v>
      </c>
      <c r="Q9" s="47">
        <f t="shared" si="9"/>
        <v>4.9999999988358468E-2</v>
      </c>
      <c r="R9" s="44">
        <f t="shared" si="0"/>
        <v>0</v>
      </c>
      <c r="S9" s="45">
        <f t="shared" si="1"/>
        <v>4059</v>
      </c>
      <c r="T9" s="46">
        <f t="shared" si="2"/>
        <v>0</v>
      </c>
      <c r="U9" s="52">
        <v>97.4</v>
      </c>
      <c r="V9" s="44">
        <f t="shared" si="10"/>
        <v>0</v>
      </c>
      <c r="W9" s="47">
        <f>W8+V9/1000</f>
        <v>0</v>
      </c>
      <c r="X9" s="47">
        <f t="shared" si="5"/>
        <v>1.2E-2</v>
      </c>
      <c r="Y9" s="53">
        <f t="shared" si="6"/>
        <v>5.5962489224334567E-3</v>
      </c>
      <c r="Z9" s="47">
        <f t="shared" si="7"/>
        <v>0.70335757804118115</v>
      </c>
      <c r="AA9" s="47">
        <f t="shared" si="11"/>
        <v>0.70335757804118115</v>
      </c>
      <c r="AC9" s="51">
        <f t="shared" si="3"/>
        <v>9.6</v>
      </c>
      <c r="AH9"/>
    </row>
    <row r="10" spans="1:37" s="25" customFormat="1" ht="20.25" customHeight="1" x14ac:dyDescent="0.2">
      <c r="A10" s="20">
        <f t="shared" si="8"/>
        <v>5</v>
      </c>
      <c r="B10" s="9">
        <v>42073</v>
      </c>
      <c r="C10" s="10">
        <v>0.73888888888888893</v>
      </c>
      <c r="D10" s="11">
        <v>97.1</v>
      </c>
      <c r="E10" s="12">
        <v>76.400000000000006</v>
      </c>
      <c r="F10" s="21">
        <v>0</v>
      </c>
      <c r="G10" s="14">
        <v>4</v>
      </c>
      <c r="H10" s="22"/>
      <c r="I10" s="62"/>
      <c r="J10" s="16">
        <v>1</v>
      </c>
      <c r="K10" s="16">
        <v>1</v>
      </c>
      <c r="L10" s="17">
        <v>0</v>
      </c>
      <c r="M10" s="12">
        <v>6</v>
      </c>
      <c r="N10" s="23"/>
      <c r="O10" s="24"/>
      <c r="P10" s="44">
        <f t="shared" si="4"/>
        <v>1.9999999960418791</v>
      </c>
      <c r="Q10" s="47">
        <f t="shared" si="9"/>
        <v>8.3333333255723119E-2</v>
      </c>
      <c r="R10" s="44">
        <f t="shared" si="0"/>
        <v>0</v>
      </c>
      <c r="S10" s="45">
        <f t="shared" si="1"/>
        <v>4059</v>
      </c>
      <c r="T10" s="46">
        <f t="shared" si="2"/>
        <v>0</v>
      </c>
      <c r="U10" s="52">
        <v>97.4</v>
      </c>
      <c r="V10" s="44">
        <f t="shared" si="10"/>
        <v>0</v>
      </c>
      <c r="W10" s="47">
        <f>W9+V10/1000</f>
        <v>0</v>
      </c>
      <c r="X10" s="47">
        <f t="shared" si="5"/>
        <v>1.6E-2</v>
      </c>
      <c r="Y10" s="53">
        <f t="shared" si="6"/>
        <v>7.6575840667683481E-3</v>
      </c>
      <c r="Z10" s="47">
        <f t="shared" si="7"/>
        <v>1.0282045876477146</v>
      </c>
      <c r="AA10" s="47">
        <f t="shared" si="11"/>
        <v>1.0282045876477146</v>
      </c>
      <c r="AC10" s="51">
        <f t="shared" si="3"/>
        <v>7.6400000000000006</v>
      </c>
    </row>
    <row r="11" spans="1:37" s="25" customFormat="1" ht="20.25" customHeight="1" x14ac:dyDescent="0.2">
      <c r="A11" s="20">
        <f t="shared" si="8"/>
        <v>6</v>
      </c>
      <c r="B11" s="9">
        <v>42073</v>
      </c>
      <c r="C11" s="10">
        <v>0.73958333333333337</v>
      </c>
      <c r="D11" s="11">
        <v>76.900000000000006</v>
      </c>
      <c r="E11" s="12">
        <v>61.5</v>
      </c>
      <c r="F11" s="21">
        <v>0</v>
      </c>
      <c r="G11" s="14">
        <v>1</v>
      </c>
      <c r="H11" s="22"/>
      <c r="I11" s="62"/>
      <c r="J11" s="16">
        <v>1</v>
      </c>
      <c r="K11" s="16">
        <v>1</v>
      </c>
      <c r="L11" s="17">
        <v>0</v>
      </c>
      <c r="M11" s="12">
        <v>6</v>
      </c>
      <c r="N11" s="23"/>
      <c r="O11" s="24"/>
      <c r="P11" s="44">
        <f t="shared" si="4"/>
        <v>1.000000003259629</v>
      </c>
      <c r="Q11" s="47">
        <f t="shared" si="9"/>
        <v>9.9999999976716936E-2</v>
      </c>
      <c r="R11" s="44">
        <f t="shared" si="0"/>
        <v>0</v>
      </c>
      <c r="S11" s="45">
        <f t="shared" si="1"/>
        <v>4059</v>
      </c>
      <c r="T11" s="46">
        <f t="shared" si="2"/>
        <v>0</v>
      </c>
      <c r="U11" s="52">
        <v>97.4</v>
      </c>
      <c r="V11" s="44">
        <f t="shared" si="10"/>
        <v>0</v>
      </c>
      <c r="W11" s="47">
        <f t="shared" ref="W11:W20" si="12">W10+V11/1000</f>
        <v>0</v>
      </c>
      <c r="X11" s="47">
        <f t="shared" si="5"/>
        <v>1.7000000000000001E-2</v>
      </c>
      <c r="Y11" s="53">
        <f t="shared" si="6"/>
        <v>9.7191341765821282E-3</v>
      </c>
      <c r="Z11" s="47">
        <f t="shared" si="7"/>
        <v>0.88982161798841775</v>
      </c>
      <c r="AA11" s="47">
        <f t="shared" si="11"/>
        <v>0.88982161798841775</v>
      </c>
      <c r="AC11" s="51">
        <f t="shared" si="3"/>
        <v>6.15</v>
      </c>
    </row>
    <row r="12" spans="1:37" s="25" customFormat="1" ht="20.25" customHeight="1" x14ac:dyDescent="0.2">
      <c r="A12" s="20">
        <f t="shared" si="8"/>
        <v>7</v>
      </c>
      <c r="B12" s="9">
        <v>42073</v>
      </c>
      <c r="C12" s="10">
        <v>0.7402777777777777</v>
      </c>
      <c r="D12" s="11">
        <v>61.8</v>
      </c>
      <c r="E12" s="12">
        <v>53.2</v>
      </c>
      <c r="F12" s="21">
        <v>0</v>
      </c>
      <c r="G12" s="14">
        <v>2</v>
      </c>
      <c r="H12" s="22"/>
      <c r="I12" s="62"/>
      <c r="J12" s="16">
        <v>1</v>
      </c>
      <c r="K12" s="16">
        <v>1</v>
      </c>
      <c r="L12" s="17">
        <v>0</v>
      </c>
      <c r="M12" s="12">
        <v>6</v>
      </c>
      <c r="N12" s="23"/>
      <c r="O12" s="24"/>
      <c r="P12" s="44">
        <f t="shared" si="4"/>
        <v>0.99999999278225005</v>
      </c>
      <c r="Q12" s="47">
        <f t="shared" si="9"/>
        <v>0.11666666652308777</v>
      </c>
      <c r="R12" s="44">
        <f t="shared" si="0"/>
        <v>0</v>
      </c>
      <c r="S12" s="45">
        <f t="shared" si="1"/>
        <v>4059</v>
      </c>
      <c r="T12" s="46">
        <f t="shared" si="2"/>
        <v>0</v>
      </c>
      <c r="U12" s="52">
        <v>97.4</v>
      </c>
      <c r="V12" s="44">
        <f t="shared" si="10"/>
        <v>0</v>
      </c>
      <c r="W12" s="47">
        <f t="shared" si="12"/>
        <v>0</v>
      </c>
      <c r="X12" s="47">
        <f t="shared" si="5"/>
        <v>1.9000000000000003E-2</v>
      </c>
      <c r="Y12" s="53">
        <f t="shared" si="6"/>
        <v>1.1099460882798095E-2</v>
      </c>
      <c r="Z12" s="47">
        <f t="shared" si="7"/>
        <v>0.91015328012356977</v>
      </c>
      <c r="AA12" s="47">
        <f t="shared" si="11"/>
        <v>0.91015328012356977</v>
      </c>
      <c r="AC12" s="51">
        <f t="shared" si="3"/>
        <v>5.32</v>
      </c>
    </row>
    <row r="13" spans="1:37" s="25" customFormat="1" ht="20.25" customHeight="1" x14ac:dyDescent="0.2">
      <c r="A13" s="20">
        <f t="shared" si="8"/>
        <v>8</v>
      </c>
      <c r="B13" s="9">
        <v>42073</v>
      </c>
      <c r="C13" s="10">
        <v>0.7416666666666667</v>
      </c>
      <c r="D13" s="11">
        <v>53.6</v>
      </c>
      <c r="E13" s="12">
        <v>48.7</v>
      </c>
      <c r="F13" s="21">
        <v>0</v>
      </c>
      <c r="G13" s="14">
        <v>1</v>
      </c>
      <c r="H13" s="22"/>
      <c r="I13" s="62"/>
      <c r="J13" s="16">
        <v>1</v>
      </c>
      <c r="K13" s="16">
        <v>1</v>
      </c>
      <c r="L13" s="17">
        <v>0</v>
      </c>
      <c r="M13" s="12">
        <v>6</v>
      </c>
      <c r="N13" s="23"/>
      <c r="O13" s="24"/>
      <c r="P13" s="44">
        <f t="shared" si="4"/>
        <v>2.000000006519258</v>
      </c>
      <c r="Q13" s="47">
        <f t="shared" si="9"/>
        <v>0.1499999999650754</v>
      </c>
      <c r="R13" s="44">
        <f t="shared" si="0"/>
        <v>0</v>
      </c>
      <c r="S13" s="45">
        <f t="shared" si="1"/>
        <v>4059</v>
      </c>
      <c r="T13" s="46">
        <f t="shared" si="2"/>
        <v>0</v>
      </c>
      <c r="U13" s="52">
        <v>97.4</v>
      </c>
      <c r="V13" s="44">
        <f t="shared" si="10"/>
        <v>0</v>
      </c>
      <c r="W13" s="47">
        <f t="shared" si="12"/>
        <v>0</v>
      </c>
      <c r="X13" s="47">
        <f t="shared" si="5"/>
        <v>2.0000000000000004E-2</v>
      </c>
      <c r="Y13" s="53">
        <f t="shared" si="6"/>
        <v>1.1928094953926226E-2</v>
      </c>
      <c r="Z13" s="47">
        <f t="shared" si="7"/>
        <v>0.90808571970601704</v>
      </c>
      <c r="AA13" s="47">
        <f t="shared" si="11"/>
        <v>0.90808571970601704</v>
      </c>
      <c r="AC13" s="51">
        <f t="shared" si="3"/>
        <v>4.87</v>
      </c>
    </row>
    <row r="14" spans="1:37" s="25" customFormat="1" ht="20.25" customHeight="1" x14ac:dyDescent="0.2">
      <c r="A14" s="20">
        <f t="shared" si="8"/>
        <v>9</v>
      </c>
      <c r="B14" s="9">
        <v>42073</v>
      </c>
      <c r="C14" s="10">
        <v>0.74236111111111114</v>
      </c>
      <c r="D14" s="58">
        <v>50.1</v>
      </c>
      <c r="E14" s="12">
        <v>45.3</v>
      </c>
      <c r="F14" s="21">
        <v>0</v>
      </c>
      <c r="G14" s="14">
        <v>1</v>
      </c>
      <c r="H14" s="22"/>
      <c r="I14" s="62"/>
      <c r="J14" s="16">
        <v>1</v>
      </c>
      <c r="K14" s="16">
        <v>1</v>
      </c>
      <c r="L14" s="17">
        <v>0</v>
      </c>
      <c r="M14" s="12">
        <v>6</v>
      </c>
      <c r="N14" s="23"/>
      <c r="O14" s="24" t="s">
        <v>41</v>
      </c>
      <c r="P14" s="44">
        <f t="shared" si="4"/>
        <v>0.99999999278225005</v>
      </c>
      <c r="Q14" s="47">
        <f t="shared" si="9"/>
        <v>0.16666666651144624</v>
      </c>
      <c r="R14" s="44">
        <f t="shared" si="0"/>
        <v>0</v>
      </c>
      <c r="S14" s="45">
        <f t="shared" si="1"/>
        <v>4059</v>
      </c>
      <c r="T14" s="46">
        <f t="shared" si="2"/>
        <v>0</v>
      </c>
      <c r="U14" s="52">
        <v>97.4</v>
      </c>
      <c r="V14" s="44">
        <f t="shared" si="10"/>
        <v>0</v>
      </c>
      <c r="W14" s="47">
        <f t="shared" si="12"/>
        <v>0</v>
      </c>
      <c r="X14" s="47">
        <f t="shared" si="5"/>
        <v>2.1000000000000005E-2</v>
      </c>
      <c r="Y14" s="53">
        <f t="shared" si="6"/>
        <v>1.2594957532463558E-2</v>
      </c>
      <c r="Z14" s="47">
        <f t="shared" si="7"/>
        <v>0.89722793647854415</v>
      </c>
      <c r="AA14" s="47">
        <f t="shared" si="11"/>
        <v>0.89722793647854415</v>
      </c>
      <c r="AC14" s="51">
        <f t="shared" si="3"/>
        <v>4.5299999999999994</v>
      </c>
    </row>
    <row r="15" spans="1:37" s="25" customFormat="1" ht="20.25" customHeight="1" x14ac:dyDescent="0.2">
      <c r="A15" s="20">
        <f t="shared" si="8"/>
        <v>10</v>
      </c>
      <c r="B15" s="9">
        <v>42073</v>
      </c>
      <c r="C15" s="10">
        <v>0.74444444444444446</v>
      </c>
      <c r="D15" s="11">
        <v>49.2</v>
      </c>
      <c r="E15" s="12">
        <v>43.2</v>
      </c>
      <c r="F15" s="21">
        <v>0</v>
      </c>
      <c r="G15" s="14">
        <v>5.2</v>
      </c>
      <c r="H15" s="22"/>
      <c r="I15" s="62"/>
      <c r="J15" s="16">
        <v>1</v>
      </c>
      <c r="K15" s="16">
        <v>1</v>
      </c>
      <c r="L15" s="17">
        <v>0</v>
      </c>
      <c r="M15" s="12">
        <v>6</v>
      </c>
      <c r="N15" s="23"/>
      <c r="O15" s="24"/>
      <c r="P15" s="44">
        <f t="shared" si="4"/>
        <v>2.9999999993015081</v>
      </c>
      <c r="Q15" s="47">
        <f t="shared" si="9"/>
        <v>0.21666666649980471</v>
      </c>
      <c r="R15" s="44">
        <f t="shared" si="0"/>
        <v>0</v>
      </c>
      <c r="S15" s="45">
        <f t="shared" si="1"/>
        <v>4059</v>
      </c>
      <c r="T15" s="46">
        <f t="shared" si="2"/>
        <v>0</v>
      </c>
      <c r="U15" s="52">
        <v>97.4</v>
      </c>
      <c r="V15" s="44">
        <f t="shared" si="10"/>
        <v>0</v>
      </c>
      <c r="W15" s="47">
        <f t="shared" si="12"/>
        <v>0</v>
      </c>
      <c r="X15" s="47">
        <f t="shared" si="5"/>
        <v>2.6200000000000005E-2</v>
      </c>
      <c r="Y15" s="53">
        <f t="shared" si="6"/>
        <v>1.3025338008111918E-2</v>
      </c>
      <c r="Z15" s="47">
        <f t="shared" si="7"/>
        <v>1.0855446128594106</v>
      </c>
      <c r="AA15" s="47">
        <f t="shared" si="11"/>
        <v>1.0855446128594106</v>
      </c>
      <c r="AC15" s="51">
        <f t="shared" si="3"/>
        <v>4.32</v>
      </c>
    </row>
    <row r="16" spans="1:37" s="25" customFormat="1" ht="20.25" customHeight="1" x14ac:dyDescent="0.2">
      <c r="A16" s="20">
        <f t="shared" si="8"/>
        <v>11</v>
      </c>
      <c r="B16" s="9">
        <v>42073</v>
      </c>
      <c r="C16" s="10">
        <v>0.77500000000000002</v>
      </c>
      <c r="D16" s="11">
        <v>50.4</v>
      </c>
      <c r="E16" s="12">
        <v>45.1</v>
      </c>
      <c r="F16" s="21">
        <v>0</v>
      </c>
      <c r="G16" s="14">
        <v>1.5</v>
      </c>
      <c r="H16" s="22"/>
      <c r="I16" s="62"/>
      <c r="J16" s="16">
        <v>1</v>
      </c>
      <c r="K16" s="16">
        <v>1</v>
      </c>
      <c r="L16" s="17">
        <v>0</v>
      </c>
      <c r="M16" s="12">
        <v>6</v>
      </c>
      <c r="N16" s="23"/>
      <c r="O16" s="24"/>
      <c r="P16" s="44">
        <f t="shared" si="4"/>
        <v>44.00000000721775</v>
      </c>
      <c r="Q16" s="47">
        <f t="shared" si="9"/>
        <v>0.94999999995343387</v>
      </c>
      <c r="R16" s="44">
        <f t="shared" si="0"/>
        <v>0</v>
      </c>
      <c r="S16" s="45">
        <f t="shared" si="1"/>
        <v>4059</v>
      </c>
      <c r="T16" s="46">
        <f t="shared" si="2"/>
        <v>0</v>
      </c>
      <c r="U16" s="52">
        <v>97.4</v>
      </c>
      <c r="V16" s="44">
        <f t="shared" si="10"/>
        <v>0</v>
      </c>
      <c r="W16" s="47">
        <f t="shared" si="12"/>
        <v>0</v>
      </c>
      <c r="X16" s="47">
        <f t="shared" si="5"/>
        <v>2.7700000000000006E-2</v>
      </c>
      <c r="Y16" s="53">
        <f t="shared" si="6"/>
        <v>1.2635325951590332E-2</v>
      </c>
      <c r="Z16" s="47">
        <f t="shared" si="7"/>
        <v>1.2341565476266405</v>
      </c>
      <c r="AA16" s="47">
        <f t="shared" si="11"/>
        <v>1.2341565476266405</v>
      </c>
      <c r="AC16" s="51">
        <f t="shared" si="3"/>
        <v>4.51</v>
      </c>
    </row>
    <row r="17" spans="1:29" s="25" customFormat="1" ht="20.25" customHeight="1" x14ac:dyDescent="0.2">
      <c r="A17" s="20">
        <f t="shared" si="8"/>
        <v>12</v>
      </c>
      <c r="B17" s="9">
        <v>42073</v>
      </c>
      <c r="C17" s="10">
        <v>0.7909722222222223</v>
      </c>
      <c r="D17" s="11">
        <v>49.7</v>
      </c>
      <c r="E17" s="12">
        <v>49.1</v>
      </c>
      <c r="F17" s="21">
        <v>0</v>
      </c>
      <c r="G17" s="14">
        <v>5.2</v>
      </c>
      <c r="H17" s="22"/>
      <c r="I17" s="62"/>
      <c r="J17" s="16">
        <v>1</v>
      </c>
      <c r="K17" s="16">
        <v>1</v>
      </c>
      <c r="L17" s="17">
        <v>0</v>
      </c>
      <c r="M17" s="12">
        <v>6</v>
      </c>
      <c r="N17" s="23"/>
      <c r="O17" s="24"/>
      <c r="P17" s="44">
        <f t="shared" si="4"/>
        <v>23.000000001629815</v>
      </c>
      <c r="Q17" s="47">
        <f t="shared" si="9"/>
        <v>1.3333333333139308</v>
      </c>
      <c r="R17" s="44">
        <f t="shared" si="0"/>
        <v>0</v>
      </c>
      <c r="S17" s="45">
        <f t="shared" si="1"/>
        <v>4059</v>
      </c>
      <c r="T17" s="46">
        <f t="shared" si="2"/>
        <v>0</v>
      </c>
      <c r="U17" s="52">
        <v>97.4</v>
      </c>
      <c r="V17" s="44">
        <f t="shared" si="10"/>
        <v>0</v>
      </c>
      <c r="W17" s="47">
        <f t="shared" si="12"/>
        <v>0</v>
      </c>
      <c r="X17" s="47">
        <f t="shared" si="5"/>
        <v>3.2900000000000006E-2</v>
      </c>
      <c r="Y17" s="53">
        <f t="shared" si="6"/>
        <v>1.1851998913292102E-2</v>
      </c>
      <c r="Z17" s="47">
        <f t="shared" si="7"/>
        <v>1.6083112821128771</v>
      </c>
      <c r="AA17" s="47">
        <f t="shared" si="11"/>
        <v>1.6083112821128771</v>
      </c>
      <c r="AC17" s="51">
        <f t="shared" si="3"/>
        <v>4.91</v>
      </c>
    </row>
    <row r="18" spans="1:29" s="25" customFormat="1" ht="20.25" customHeight="1" x14ac:dyDescent="0.2">
      <c r="A18" s="20">
        <f t="shared" si="8"/>
        <v>13</v>
      </c>
      <c r="B18" s="9">
        <v>42073</v>
      </c>
      <c r="C18" s="10">
        <v>0.80486111111111114</v>
      </c>
      <c r="D18" s="11">
        <v>49.9</v>
      </c>
      <c r="E18" s="12">
        <v>44.7</v>
      </c>
      <c r="F18" s="21">
        <v>0</v>
      </c>
      <c r="G18" s="14">
        <v>0.5</v>
      </c>
      <c r="H18" s="22"/>
      <c r="I18" s="62"/>
      <c r="J18" s="16">
        <v>1</v>
      </c>
      <c r="K18" s="16">
        <v>1</v>
      </c>
      <c r="L18" s="17">
        <v>0</v>
      </c>
      <c r="M18" s="12">
        <v>6</v>
      </c>
      <c r="N18" s="23"/>
      <c r="O18" s="24"/>
      <c r="P18" s="44">
        <f t="shared" si="4"/>
        <v>19.999999991850927</v>
      </c>
      <c r="Q18" s="47">
        <f t="shared" si="9"/>
        <v>1.6666666665114462</v>
      </c>
      <c r="R18" s="44">
        <f t="shared" si="0"/>
        <v>0</v>
      </c>
      <c r="S18" s="45">
        <f t="shared" si="1"/>
        <v>4059</v>
      </c>
      <c r="T18" s="46">
        <f t="shared" si="2"/>
        <v>0</v>
      </c>
      <c r="U18" s="52">
        <v>97.4</v>
      </c>
      <c r="V18" s="44">
        <f t="shared" si="10"/>
        <v>0</v>
      </c>
      <c r="W18" s="47">
        <f t="shared" si="12"/>
        <v>0</v>
      </c>
      <c r="X18" s="47">
        <f t="shared" si="5"/>
        <v>3.3400000000000006E-2</v>
      </c>
      <c r="Y18" s="53">
        <f t="shared" si="6"/>
        <v>1.2716451362086217E-2</v>
      </c>
      <c r="Z18" s="47">
        <f t="shared" si="7"/>
        <v>1.4170713599953633</v>
      </c>
      <c r="AA18" s="47">
        <f t="shared" si="11"/>
        <v>1.4170713599953633</v>
      </c>
      <c r="AC18" s="51">
        <f t="shared" si="3"/>
        <v>4.4700000000000006</v>
      </c>
    </row>
    <row r="19" spans="1:29" s="25" customFormat="1" ht="20.25" customHeight="1" x14ac:dyDescent="0.2">
      <c r="A19" s="20">
        <f t="shared" si="8"/>
        <v>14</v>
      </c>
      <c r="B19" s="9">
        <v>42073</v>
      </c>
      <c r="C19" s="10">
        <v>0.8569444444444444</v>
      </c>
      <c r="D19" s="11">
        <v>49.8</v>
      </c>
      <c r="E19" s="12">
        <v>35.799999999999997</v>
      </c>
      <c r="F19" s="21">
        <v>0</v>
      </c>
      <c r="G19" s="14">
        <v>5.2</v>
      </c>
      <c r="H19" s="22"/>
      <c r="I19" s="62"/>
      <c r="J19" s="16">
        <v>1</v>
      </c>
      <c r="K19" s="16">
        <v>1</v>
      </c>
      <c r="L19" s="17">
        <v>0</v>
      </c>
      <c r="M19" s="12">
        <v>6</v>
      </c>
      <c r="N19" s="23"/>
      <c r="O19" s="24"/>
      <c r="P19" s="44">
        <f t="shared" si="4"/>
        <v>75.00000000349246</v>
      </c>
      <c r="Q19" s="47">
        <f t="shared" si="9"/>
        <v>2.9166666665696539</v>
      </c>
      <c r="R19" s="44">
        <f t="shared" si="0"/>
        <v>0</v>
      </c>
      <c r="S19" s="45">
        <f t="shared" si="1"/>
        <v>4059</v>
      </c>
      <c r="T19" s="46">
        <f t="shared" si="2"/>
        <v>0</v>
      </c>
      <c r="U19" s="52">
        <v>97.4</v>
      </c>
      <c r="V19" s="44">
        <f t="shared" si="10"/>
        <v>0</v>
      </c>
      <c r="W19" s="47">
        <f t="shared" si="12"/>
        <v>0</v>
      </c>
      <c r="X19" s="47">
        <f t="shared" si="5"/>
        <v>3.8600000000000009E-2</v>
      </c>
      <c r="Y19" s="53">
        <f t="shared" si="6"/>
        <v>1.4662548738845191E-2</v>
      </c>
      <c r="Z19" s="47">
        <f t="shared" si="7"/>
        <v>1.2855395461073889</v>
      </c>
      <c r="AA19" s="47">
        <f t="shared" si="11"/>
        <v>1.2855395461073889</v>
      </c>
      <c r="AC19" s="51">
        <f t="shared" si="3"/>
        <v>3.5799999999999996</v>
      </c>
    </row>
    <row r="20" spans="1:29" s="25" customFormat="1" ht="20.25" customHeight="1" x14ac:dyDescent="0.2">
      <c r="A20" s="20">
        <f t="shared" si="8"/>
        <v>15</v>
      </c>
      <c r="B20" s="9">
        <v>42073</v>
      </c>
      <c r="C20" s="10">
        <v>0.8847222222222223</v>
      </c>
      <c r="D20" s="11">
        <v>47.6</v>
      </c>
      <c r="E20" s="12">
        <v>38.5</v>
      </c>
      <c r="F20" s="21">
        <v>0</v>
      </c>
      <c r="G20" s="14">
        <v>2</v>
      </c>
      <c r="H20" s="22"/>
      <c r="I20" s="62"/>
      <c r="J20" s="16">
        <v>1</v>
      </c>
      <c r="K20" s="16">
        <v>1</v>
      </c>
      <c r="L20" s="17">
        <v>0</v>
      </c>
      <c r="M20" s="12">
        <v>6</v>
      </c>
      <c r="N20" s="23"/>
      <c r="O20" s="24"/>
      <c r="P20" s="44">
        <f t="shared" si="4"/>
        <v>40.000000004656613</v>
      </c>
      <c r="Q20" s="47">
        <f t="shared" si="9"/>
        <v>3.5833333333139308</v>
      </c>
      <c r="R20" s="44">
        <f t="shared" si="0"/>
        <v>0</v>
      </c>
      <c r="S20" s="45">
        <f t="shared" si="1"/>
        <v>4059</v>
      </c>
      <c r="T20" s="46">
        <f t="shared" si="2"/>
        <v>0</v>
      </c>
      <c r="U20" s="52">
        <v>97.4</v>
      </c>
      <c r="V20" s="44">
        <f t="shared" si="10"/>
        <v>0</v>
      </c>
      <c r="W20" s="47">
        <f t="shared" si="12"/>
        <v>0</v>
      </c>
      <c r="X20" s="47">
        <f t="shared" si="5"/>
        <v>4.0600000000000011E-2</v>
      </c>
      <c r="Y20" s="53">
        <f t="shared" si="6"/>
        <v>1.4042613640753637E-2</v>
      </c>
      <c r="Z20" s="47">
        <f t="shared" si="7"/>
        <v>1.5517501638239548</v>
      </c>
      <c r="AA20" s="47">
        <f t="shared" si="11"/>
        <v>1.5517501638239548</v>
      </c>
      <c r="AC20" s="51">
        <f t="shared" si="3"/>
        <v>3.85</v>
      </c>
    </row>
    <row r="21" spans="1:29" s="25" customFormat="1" ht="20.25" customHeight="1" x14ac:dyDescent="0.2">
      <c r="A21" s="20">
        <f t="shared" si="8"/>
        <v>16</v>
      </c>
      <c r="B21" s="9">
        <v>42074</v>
      </c>
      <c r="C21" s="10">
        <v>0.40972222222222227</v>
      </c>
      <c r="D21" s="11">
        <v>48.1</v>
      </c>
      <c r="E21" s="12">
        <v>48</v>
      </c>
      <c r="F21" s="21">
        <v>0</v>
      </c>
      <c r="G21" s="14">
        <v>5.2</v>
      </c>
      <c r="H21" s="22"/>
      <c r="I21" s="62"/>
      <c r="J21" s="16">
        <v>1</v>
      </c>
      <c r="K21" s="16">
        <v>1</v>
      </c>
      <c r="L21" s="17">
        <v>0</v>
      </c>
      <c r="M21" s="12">
        <v>6</v>
      </c>
      <c r="N21" s="23"/>
      <c r="O21" s="24"/>
      <c r="P21" s="44">
        <f t="shared" si="4"/>
        <v>755.9999999916181</v>
      </c>
      <c r="Q21" s="47">
        <f t="shared" ref="Q21:Q28" si="13">Q20+P21/60</f>
        <v>16.183333333174232</v>
      </c>
      <c r="R21" s="44">
        <f t="shared" si="0"/>
        <v>0</v>
      </c>
      <c r="S21" s="45">
        <f t="shared" si="1"/>
        <v>4059</v>
      </c>
      <c r="T21" s="46">
        <f t="shared" si="2"/>
        <v>0</v>
      </c>
      <c r="U21" s="52">
        <v>97.4</v>
      </c>
      <c r="V21" s="44">
        <f t="shared" ref="V21:V28" si="14">(T21+R21)*U21/100</f>
        <v>0</v>
      </c>
      <c r="W21" s="47">
        <f t="shared" ref="W21:W28" si="15">W20+V21/1000</f>
        <v>0</v>
      </c>
      <c r="X21" s="47">
        <f t="shared" si="5"/>
        <v>4.5800000000000007E-2</v>
      </c>
      <c r="Y21" s="53">
        <f t="shared" si="6"/>
        <v>1.2062440548382814E-2</v>
      </c>
      <c r="Z21" s="47">
        <f t="shared" si="7"/>
        <v>2.2313166153934478</v>
      </c>
      <c r="AA21" s="47">
        <f t="shared" ref="AA21:AA28" si="16">W21+Z21</f>
        <v>2.2313166153934478</v>
      </c>
      <c r="AC21" s="51">
        <f t="shared" si="3"/>
        <v>4.8</v>
      </c>
    </row>
    <row r="22" spans="1:29" ht="20.25" customHeight="1" x14ac:dyDescent="0.2">
      <c r="A22" s="20">
        <f t="shared" si="8"/>
        <v>17</v>
      </c>
      <c r="B22" s="9">
        <v>42074</v>
      </c>
      <c r="C22" s="10">
        <v>0.42291666666666666</v>
      </c>
      <c r="D22" s="11">
        <v>48.1</v>
      </c>
      <c r="E22" s="12">
        <v>37.1</v>
      </c>
      <c r="F22" s="21">
        <v>0</v>
      </c>
      <c r="G22" s="14">
        <v>0</v>
      </c>
      <c r="H22" s="22"/>
      <c r="I22" s="62"/>
      <c r="J22" s="16">
        <v>1</v>
      </c>
      <c r="K22" s="16">
        <v>1</v>
      </c>
      <c r="L22" s="17">
        <v>0</v>
      </c>
      <c r="M22" s="12">
        <v>6</v>
      </c>
      <c r="N22" s="23"/>
      <c r="O22" s="24"/>
      <c r="P22" s="44">
        <f t="shared" si="4"/>
        <v>19.000000009546056</v>
      </c>
      <c r="Q22" s="47">
        <f t="shared" si="13"/>
        <v>16.5</v>
      </c>
      <c r="R22" s="44">
        <f t="shared" si="0"/>
        <v>0</v>
      </c>
      <c r="S22" s="45">
        <f t="shared" si="1"/>
        <v>4059</v>
      </c>
      <c r="T22" s="46">
        <f t="shared" si="2"/>
        <v>0</v>
      </c>
      <c r="U22" s="52">
        <v>97.4</v>
      </c>
      <c r="V22" s="44">
        <f t="shared" si="14"/>
        <v>0</v>
      </c>
      <c r="W22" s="47">
        <f t="shared" si="15"/>
        <v>0</v>
      </c>
      <c r="X22" s="47">
        <f t="shared" si="5"/>
        <v>4.5800000000000007E-2</v>
      </c>
      <c r="Y22" s="53">
        <f t="shared" si="6"/>
        <v>1.4360717650336084E-2</v>
      </c>
      <c r="Z22" s="47">
        <f t="shared" si="7"/>
        <v>1.5796062155899204</v>
      </c>
      <c r="AA22" s="47">
        <f t="shared" si="16"/>
        <v>1.5796062155899204</v>
      </c>
      <c r="AC22" s="51">
        <f t="shared" si="3"/>
        <v>3.71</v>
      </c>
    </row>
    <row r="23" spans="1:29" ht="20.25" customHeight="1" x14ac:dyDescent="0.2">
      <c r="A23" s="20">
        <f t="shared" si="8"/>
        <v>18</v>
      </c>
      <c r="B23" s="9">
        <v>42074</v>
      </c>
      <c r="C23" s="10">
        <v>0.44791666666666669</v>
      </c>
      <c r="D23" s="11">
        <v>45.9</v>
      </c>
      <c r="E23" s="12">
        <v>36.299999999999997</v>
      </c>
      <c r="F23" s="21">
        <v>0</v>
      </c>
      <c r="G23" s="14">
        <v>0</v>
      </c>
      <c r="H23" s="22"/>
      <c r="I23" s="62"/>
      <c r="J23" s="16">
        <v>1</v>
      </c>
      <c r="K23" s="16">
        <v>1</v>
      </c>
      <c r="L23" s="17">
        <v>0</v>
      </c>
      <c r="M23" s="12">
        <v>6</v>
      </c>
      <c r="N23" s="23"/>
      <c r="O23" s="24" t="s">
        <v>58</v>
      </c>
      <c r="P23" s="44">
        <f t="shared" si="4"/>
        <v>35.999999991618097</v>
      </c>
      <c r="Q23" s="47">
        <f t="shared" si="13"/>
        <v>17.099999999860302</v>
      </c>
      <c r="R23" s="44">
        <f t="shared" si="0"/>
        <v>0</v>
      </c>
      <c r="S23" s="45">
        <f t="shared" si="1"/>
        <v>4059</v>
      </c>
      <c r="T23" s="46">
        <f t="shared" si="2"/>
        <v>0</v>
      </c>
      <c r="U23" s="52">
        <v>97.4</v>
      </c>
      <c r="V23" s="44">
        <f t="shared" si="14"/>
        <v>0</v>
      </c>
      <c r="W23" s="47">
        <f t="shared" si="15"/>
        <v>0</v>
      </c>
      <c r="X23" s="47">
        <f t="shared" si="5"/>
        <v>4.5800000000000007E-2</v>
      </c>
      <c r="Y23" s="53">
        <f t="shared" si="6"/>
        <v>1.4545716301788322E-2</v>
      </c>
      <c r="Z23" s="47">
        <f t="shared" si="7"/>
        <v>1.6215633666813323</v>
      </c>
      <c r="AA23" s="47">
        <f t="shared" si="16"/>
        <v>1.6215633666813323</v>
      </c>
      <c r="AC23" s="51">
        <f t="shared" si="3"/>
        <v>3.63</v>
      </c>
    </row>
    <row r="24" spans="1:29" ht="20.25" customHeight="1" x14ac:dyDescent="0.2">
      <c r="A24" s="20">
        <f t="shared" si="8"/>
        <v>19</v>
      </c>
      <c r="B24" s="9">
        <v>42074</v>
      </c>
      <c r="C24" s="10">
        <v>0.5131944444444444</v>
      </c>
      <c r="D24" s="11">
        <v>47.4</v>
      </c>
      <c r="E24" s="12">
        <v>34.4</v>
      </c>
      <c r="F24" s="21">
        <v>0</v>
      </c>
      <c r="G24" s="14">
        <v>34</v>
      </c>
      <c r="H24" s="22"/>
      <c r="I24" s="62"/>
      <c r="J24" s="16">
        <v>1</v>
      </c>
      <c r="K24" s="16">
        <v>1</v>
      </c>
      <c r="L24" s="17">
        <v>0</v>
      </c>
      <c r="M24" s="12">
        <v>6</v>
      </c>
      <c r="N24" s="23"/>
      <c r="O24" s="24"/>
      <c r="P24" s="44">
        <f t="shared" si="4"/>
        <v>94.000000002561137</v>
      </c>
      <c r="Q24" s="47">
        <f t="shared" si="13"/>
        <v>18.666666666569654</v>
      </c>
      <c r="R24" s="44">
        <f t="shared" si="0"/>
        <v>0</v>
      </c>
      <c r="S24" s="45">
        <f t="shared" si="1"/>
        <v>4059</v>
      </c>
      <c r="T24" s="46">
        <f t="shared" si="2"/>
        <v>0</v>
      </c>
      <c r="U24" s="52">
        <v>97.4</v>
      </c>
      <c r="V24" s="44">
        <f t="shared" si="14"/>
        <v>0</v>
      </c>
      <c r="W24" s="47">
        <f t="shared" si="15"/>
        <v>0</v>
      </c>
      <c r="X24" s="47">
        <f t="shared" si="5"/>
        <v>7.980000000000001E-2</v>
      </c>
      <c r="Y24" s="53">
        <f t="shared" si="6"/>
        <v>1.4994695991760312E-2</v>
      </c>
      <c r="Z24" s="47">
        <f t="shared" si="7"/>
        <v>2.6771529142927899</v>
      </c>
      <c r="AA24" s="47">
        <f t="shared" si="16"/>
        <v>2.6771529142927899</v>
      </c>
      <c r="AC24" s="51">
        <f t="shared" si="3"/>
        <v>3.44</v>
      </c>
    </row>
    <row r="25" spans="1:29" ht="20.25" customHeight="1" x14ac:dyDescent="0.2">
      <c r="A25" s="20">
        <f t="shared" si="8"/>
        <v>20</v>
      </c>
      <c r="B25" s="9">
        <v>42074</v>
      </c>
      <c r="C25" s="10">
        <v>0.54236111111111118</v>
      </c>
      <c r="D25" s="11">
        <v>44.3</v>
      </c>
      <c r="E25" s="12">
        <v>39.200000000000003</v>
      </c>
      <c r="F25" s="21">
        <v>80</v>
      </c>
      <c r="G25" s="14">
        <v>41</v>
      </c>
      <c r="H25" s="22"/>
      <c r="I25" s="62"/>
      <c r="J25" s="16">
        <v>1</v>
      </c>
      <c r="K25" s="16">
        <v>1</v>
      </c>
      <c r="L25" s="17">
        <v>0</v>
      </c>
      <c r="M25" s="12">
        <v>6</v>
      </c>
      <c r="N25" s="23"/>
      <c r="O25" s="24"/>
      <c r="P25" s="44">
        <f t="shared" si="4"/>
        <v>42.000000000698492</v>
      </c>
      <c r="Q25" s="47">
        <f t="shared" si="13"/>
        <v>19.366666666581295</v>
      </c>
      <c r="R25" s="44">
        <f t="shared" si="0"/>
        <v>79.375483870967756</v>
      </c>
      <c r="S25" s="45">
        <f t="shared" si="1"/>
        <v>4059</v>
      </c>
      <c r="T25" s="46">
        <f t="shared" si="2"/>
        <v>0</v>
      </c>
      <c r="U25" s="52">
        <v>97.4</v>
      </c>
      <c r="V25" s="44">
        <f t="shared" si="14"/>
        <v>77.311721290322609</v>
      </c>
      <c r="W25" s="47">
        <f t="shared" si="15"/>
        <v>7.7311721290322613E-2</v>
      </c>
      <c r="X25" s="47">
        <f t="shared" si="5"/>
        <v>0.12080000000000002</v>
      </c>
      <c r="Y25" s="53">
        <f t="shared" si="6"/>
        <v>1.3886213841747441E-2</v>
      </c>
      <c r="Z25" s="47">
        <f t="shared" si="7"/>
        <v>4.6706505758789962</v>
      </c>
      <c r="AA25" s="47">
        <f t="shared" si="16"/>
        <v>4.7479622971693187</v>
      </c>
      <c r="AC25" s="51">
        <f t="shared" si="3"/>
        <v>3.9200000000000004</v>
      </c>
    </row>
    <row r="26" spans="1:29" ht="20.25" customHeight="1" x14ac:dyDescent="0.2">
      <c r="A26" s="20">
        <f t="shared" si="8"/>
        <v>21</v>
      </c>
      <c r="B26" s="9">
        <v>42074</v>
      </c>
      <c r="C26" s="10">
        <v>0.68402777777777779</v>
      </c>
      <c r="D26" s="11">
        <v>48.3</v>
      </c>
      <c r="E26" s="12">
        <v>46.4</v>
      </c>
      <c r="F26" s="21">
        <f>(I26*E26)/1.1</f>
        <v>658.0363636363636</v>
      </c>
      <c r="G26" s="14">
        <v>0</v>
      </c>
      <c r="H26" s="22"/>
      <c r="I26" s="62">
        <f>3*5.2</f>
        <v>15.600000000000001</v>
      </c>
      <c r="J26" s="16">
        <v>1</v>
      </c>
      <c r="K26" s="16">
        <v>1</v>
      </c>
      <c r="L26" s="17">
        <v>0</v>
      </c>
      <c r="M26" s="12">
        <v>6</v>
      </c>
      <c r="N26" s="23" t="s">
        <v>43</v>
      </c>
      <c r="O26" s="24"/>
      <c r="P26" s="44">
        <f t="shared" si="4"/>
        <v>204.00000000488944</v>
      </c>
      <c r="Q26" s="47">
        <f t="shared" si="13"/>
        <v>22.766666666662786</v>
      </c>
      <c r="R26" s="44">
        <f t="shared" si="0"/>
        <v>652.89943460410552</v>
      </c>
      <c r="S26" s="45">
        <f t="shared" si="1"/>
        <v>4059</v>
      </c>
      <c r="T26" s="46">
        <f t="shared" si="2"/>
        <v>0</v>
      </c>
      <c r="U26" s="52">
        <v>97.4</v>
      </c>
      <c r="V26" s="44">
        <f t="shared" si="14"/>
        <v>635.92404930439875</v>
      </c>
      <c r="W26" s="47">
        <f t="shared" si="15"/>
        <v>0.71323577059472132</v>
      </c>
      <c r="X26" s="47">
        <f t="shared" si="5"/>
        <v>0.12080000000000002</v>
      </c>
      <c r="Y26" s="53">
        <f t="shared" si="6"/>
        <v>1.2375225592944485E-2</v>
      </c>
      <c r="Z26" s="47">
        <f t="shared" si="7"/>
        <v>5.5253681191168242</v>
      </c>
      <c r="AA26" s="47">
        <f t="shared" si="16"/>
        <v>6.2386038897115457</v>
      </c>
      <c r="AC26" s="51">
        <f t="shared" si="3"/>
        <v>4.6399999999999997</v>
      </c>
    </row>
    <row r="27" spans="1:29" ht="20.25" customHeight="1" x14ac:dyDescent="0.2">
      <c r="A27" s="20">
        <f t="shared" si="8"/>
        <v>22</v>
      </c>
      <c r="B27" s="9">
        <v>42074</v>
      </c>
      <c r="C27" s="10">
        <v>0.71666666666666667</v>
      </c>
      <c r="D27" s="11">
        <v>47.7</v>
      </c>
      <c r="E27" s="12">
        <v>41.1</v>
      </c>
      <c r="F27" s="21">
        <v>760</v>
      </c>
      <c r="G27" s="14">
        <v>8</v>
      </c>
      <c r="H27" s="22"/>
      <c r="I27" s="62"/>
      <c r="J27" s="16">
        <v>1</v>
      </c>
      <c r="K27" s="16">
        <v>1</v>
      </c>
      <c r="L27" s="17">
        <v>0</v>
      </c>
      <c r="M27" s="12">
        <v>6</v>
      </c>
      <c r="N27" s="23" t="s">
        <v>55</v>
      </c>
      <c r="O27" s="24" t="s">
        <v>62</v>
      </c>
      <c r="P27" s="44">
        <f t="shared" si="4"/>
        <v>46.999999996041879</v>
      </c>
      <c r="Q27" s="47">
        <f t="shared" si="13"/>
        <v>23.549999999930151</v>
      </c>
      <c r="R27" s="44">
        <f t="shared" si="0"/>
        <v>754.0670967741936</v>
      </c>
      <c r="S27" s="45">
        <f t="shared" si="1"/>
        <v>4059</v>
      </c>
      <c r="T27" s="46">
        <f t="shared" si="2"/>
        <v>0</v>
      </c>
      <c r="U27" s="52">
        <v>97.4</v>
      </c>
      <c r="V27" s="44">
        <f t="shared" si="14"/>
        <v>734.46135225806461</v>
      </c>
      <c r="W27" s="47">
        <f t="shared" si="15"/>
        <v>1.447697122852786</v>
      </c>
      <c r="X27" s="47">
        <f t="shared" si="5"/>
        <v>0.12880000000000003</v>
      </c>
      <c r="Y27" s="53">
        <f t="shared" si="6"/>
        <v>1.3470424952864435E-2</v>
      </c>
      <c r="Z27" s="47">
        <f t="shared" si="7"/>
        <v>5.1239716701846598</v>
      </c>
      <c r="AA27" s="47">
        <f t="shared" si="16"/>
        <v>6.5716687930374462</v>
      </c>
      <c r="AC27" s="51">
        <f t="shared" si="3"/>
        <v>4.1100000000000003</v>
      </c>
    </row>
    <row r="28" spans="1:29" ht="20.25" customHeight="1" x14ac:dyDescent="0.2">
      <c r="A28" s="20">
        <f t="shared" si="8"/>
        <v>23</v>
      </c>
      <c r="B28" s="9">
        <v>42075</v>
      </c>
      <c r="C28" s="10">
        <v>0.37013888888888885</v>
      </c>
      <c r="D28" s="11">
        <v>47.2</v>
      </c>
      <c r="E28" s="12">
        <v>42.1</v>
      </c>
      <c r="F28" s="21">
        <f>(I28*E28)/1.1</f>
        <v>597.05454545454552</v>
      </c>
      <c r="G28" s="14">
        <v>0</v>
      </c>
      <c r="H28" s="22"/>
      <c r="I28" s="62">
        <f>3*5.2</f>
        <v>15.600000000000001</v>
      </c>
      <c r="J28" s="16">
        <v>1</v>
      </c>
      <c r="K28" s="16">
        <v>1</v>
      </c>
      <c r="L28" s="17">
        <v>0</v>
      </c>
      <c r="M28" s="12">
        <v>6</v>
      </c>
      <c r="N28" s="23" t="s">
        <v>44</v>
      </c>
      <c r="O28" s="24"/>
      <c r="P28" s="44">
        <f t="shared" si="4"/>
        <v>940.99999999743886</v>
      </c>
      <c r="Q28" s="47">
        <f t="shared" si="13"/>
        <v>39.233333333220799</v>
      </c>
      <c r="R28" s="44">
        <f t="shared" si="0"/>
        <v>592.39366803519079</v>
      </c>
      <c r="S28" s="45">
        <f t="shared" si="1"/>
        <v>4059</v>
      </c>
      <c r="T28" s="46">
        <f t="shared" si="2"/>
        <v>0</v>
      </c>
      <c r="U28" s="52">
        <v>97.4</v>
      </c>
      <c r="V28" s="44">
        <f t="shared" si="14"/>
        <v>576.99143266627584</v>
      </c>
      <c r="W28" s="47">
        <f t="shared" si="15"/>
        <v>2.0246885555190617</v>
      </c>
      <c r="X28" s="47">
        <f t="shared" si="5"/>
        <v>0.12880000000000003</v>
      </c>
      <c r="Y28" s="53">
        <f t="shared" si="6"/>
        <v>1.3256613208868319E-2</v>
      </c>
      <c r="Z28" s="47">
        <f t="shared" si="7"/>
        <v>5.2994509590758936</v>
      </c>
      <c r="AA28" s="47">
        <f t="shared" si="16"/>
        <v>7.3241395145949557</v>
      </c>
      <c r="AC28" s="51">
        <f t="shared" si="3"/>
        <v>4.21</v>
      </c>
    </row>
    <row r="29" spans="1:29" ht="20.25" customHeight="1" x14ac:dyDescent="0.2">
      <c r="A29" s="20">
        <f t="shared" si="8"/>
        <v>24</v>
      </c>
      <c r="B29" s="9">
        <v>42075</v>
      </c>
      <c r="C29" s="10">
        <v>0.38819444444444445</v>
      </c>
      <c r="D29" s="11">
        <v>43.4</v>
      </c>
      <c r="E29" s="12">
        <v>36.700000000000003</v>
      </c>
      <c r="F29" s="21">
        <v>745</v>
      </c>
      <c r="G29" s="14">
        <v>5</v>
      </c>
      <c r="H29" s="22"/>
      <c r="I29" s="62"/>
      <c r="J29" s="16">
        <v>1</v>
      </c>
      <c r="K29" s="16">
        <v>1</v>
      </c>
      <c r="L29" s="17">
        <v>0</v>
      </c>
      <c r="M29" s="12">
        <v>6</v>
      </c>
      <c r="N29" s="23" t="s">
        <v>56</v>
      </c>
      <c r="O29" s="24" t="s">
        <v>63</v>
      </c>
      <c r="P29" s="44">
        <f t="shared" si="4"/>
        <v>26.000000000931323</v>
      </c>
      <c r="Q29" s="47">
        <f t="shared" ref="Q29:Q92" si="17">Q28+P29/60</f>
        <v>39.666666666569654</v>
      </c>
      <c r="R29" s="44">
        <f t="shared" si="0"/>
        <v>739.18419354838704</v>
      </c>
      <c r="S29" s="45">
        <f t="shared" si="1"/>
        <v>4059</v>
      </c>
      <c r="T29" s="46">
        <f t="shared" si="2"/>
        <v>0</v>
      </c>
      <c r="U29" s="52">
        <v>97.4</v>
      </c>
      <c r="V29" s="44">
        <f t="shared" ref="V29:V92" si="18">(T29+R29)*U29/100</f>
        <v>719.96540451612907</v>
      </c>
      <c r="W29" s="47">
        <f t="shared" ref="W29:W92" si="19">W28+V29/1000</f>
        <v>2.7446539600351909</v>
      </c>
      <c r="X29" s="47">
        <f t="shared" si="5"/>
        <v>0.13380000000000003</v>
      </c>
      <c r="Y29" s="53">
        <f t="shared" si="6"/>
        <v>1.4452920979230215E-2</v>
      </c>
      <c r="Z29" s="47">
        <f t="shared" si="7"/>
        <v>4.764467486795505</v>
      </c>
      <c r="AA29" s="47">
        <f t="shared" ref="AA29:AA92" si="20">W29+Z29</f>
        <v>7.5091214468306955</v>
      </c>
      <c r="AC29" s="51">
        <f t="shared" si="3"/>
        <v>3.6700000000000004</v>
      </c>
    </row>
    <row r="30" spans="1:29" ht="20.25" customHeight="1" x14ac:dyDescent="0.2">
      <c r="A30" s="20">
        <f t="shared" si="8"/>
        <v>25</v>
      </c>
      <c r="B30" s="9">
        <v>42075</v>
      </c>
      <c r="C30" s="10">
        <v>0.44375000000000003</v>
      </c>
      <c r="D30" s="11">
        <v>44.4</v>
      </c>
      <c r="E30" s="12">
        <v>35.6</v>
      </c>
      <c r="F30" s="21">
        <v>895</v>
      </c>
      <c r="G30" s="14">
        <v>0</v>
      </c>
      <c r="H30" s="22"/>
      <c r="I30" s="62"/>
      <c r="J30" s="16">
        <v>1</v>
      </c>
      <c r="K30" s="16">
        <v>1</v>
      </c>
      <c r="L30" s="17">
        <v>0</v>
      </c>
      <c r="M30" s="12">
        <v>6</v>
      </c>
      <c r="N30" s="23" t="s">
        <v>45</v>
      </c>
      <c r="O30" s="24"/>
      <c r="P30" s="44">
        <f t="shared" si="4"/>
        <v>79.999999998835847</v>
      </c>
      <c r="Q30" s="47">
        <f t="shared" si="17"/>
        <v>40.999999999883585</v>
      </c>
      <c r="R30" s="44">
        <f t="shared" si="0"/>
        <v>888.0132258064516</v>
      </c>
      <c r="S30" s="45">
        <f t="shared" si="1"/>
        <v>4059</v>
      </c>
      <c r="T30" s="46">
        <f t="shared" si="2"/>
        <v>0</v>
      </c>
      <c r="U30" s="52">
        <v>97.4</v>
      </c>
      <c r="V30" s="44">
        <f t="shared" si="18"/>
        <v>864.92488193548388</v>
      </c>
      <c r="W30" s="47">
        <f t="shared" si="19"/>
        <v>3.6095788419706749</v>
      </c>
      <c r="X30" s="47">
        <f t="shared" si="5"/>
        <v>0.13380000000000003</v>
      </c>
      <c r="Y30" s="53">
        <f t="shared" si="6"/>
        <v>1.4709544047200207E-2</v>
      </c>
      <c r="Z30" s="47">
        <f t="shared" si="7"/>
        <v>4.6582290576168175</v>
      </c>
      <c r="AA30" s="47">
        <f t="shared" si="20"/>
        <v>8.267807899587492</v>
      </c>
      <c r="AC30" s="51">
        <f t="shared" si="3"/>
        <v>3.56</v>
      </c>
    </row>
    <row r="31" spans="1:29" ht="20.25" customHeight="1" x14ac:dyDescent="0.2">
      <c r="A31" s="20">
        <f t="shared" si="8"/>
        <v>26</v>
      </c>
      <c r="B31" s="9">
        <v>42075</v>
      </c>
      <c r="C31" s="10">
        <v>0.44930555555555557</v>
      </c>
      <c r="D31" s="11">
        <v>37.1</v>
      </c>
      <c r="E31" s="12">
        <v>34.299999999999997</v>
      </c>
      <c r="F31" s="21">
        <f t="shared" ref="F31:F32" si="21">(I31*E31)/1.1</f>
        <v>648.58181818181811</v>
      </c>
      <c r="G31" s="14">
        <v>0</v>
      </c>
      <c r="H31" s="22"/>
      <c r="I31" s="62">
        <f>4*5.2</f>
        <v>20.8</v>
      </c>
      <c r="J31" s="16">
        <v>1</v>
      </c>
      <c r="K31" s="16">
        <v>1</v>
      </c>
      <c r="L31" s="17">
        <v>0</v>
      </c>
      <c r="M31" s="12">
        <v>6</v>
      </c>
      <c r="N31" s="23" t="s">
        <v>59</v>
      </c>
      <c r="O31" s="24"/>
      <c r="P31" s="44">
        <f t="shared" si="4"/>
        <v>8.0000000051222742</v>
      </c>
      <c r="Q31" s="47">
        <f t="shared" si="17"/>
        <v>41.133333333302289</v>
      </c>
      <c r="R31" s="44">
        <f t="shared" si="0"/>
        <v>643.51869560117291</v>
      </c>
      <c r="S31" s="45">
        <f t="shared" si="1"/>
        <v>4059</v>
      </c>
      <c r="T31" s="46">
        <f t="shared" si="2"/>
        <v>0</v>
      </c>
      <c r="U31" s="52">
        <v>97.4</v>
      </c>
      <c r="V31" s="44">
        <f t="shared" si="18"/>
        <v>626.78720951554237</v>
      </c>
      <c r="W31" s="47">
        <f t="shared" si="19"/>
        <v>4.2363660514862174</v>
      </c>
      <c r="X31" s="47">
        <f t="shared" si="5"/>
        <v>0.13380000000000003</v>
      </c>
      <c r="Y31" s="53">
        <f t="shared" si="6"/>
        <v>1.5018706708798473E-2</v>
      </c>
      <c r="Z31" s="47">
        <f t="shared" si="7"/>
        <v>4.4910052553313129</v>
      </c>
      <c r="AA31" s="47">
        <f t="shared" si="20"/>
        <v>8.7273713068175311</v>
      </c>
      <c r="AC31" s="51">
        <f t="shared" si="3"/>
        <v>3.4299999999999997</v>
      </c>
    </row>
    <row r="32" spans="1:29" ht="20.25" customHeight="1" x14ac:dyDescent="0.2">
      <c r="A32" s="20">
        <f t="shared" si="8"/>
        <v>27</v>
      </c>
      <c r="B32" s="9">
        <v>42075</v>
      </c>
      <c r="C32" s="10">
        <v>0.52847222222222223</v>
      </c>
      <c r="D32" s="11">
        <v>44.9</v>
      </c>
      <c r="E32" s="12">
        <v>41.6</v>
      </c>
      <c r="F32" s="21">
        <f t="shared" si="21"/>
        <v>786.61818181818182</v>
      </c>
      <c r="G32" s="14">
        <v>0</v>
      </c>
      <c r="H32" s="22"/>
      <c r="I32" s="62">
        <f>4*5.2</f>
        <v>20.8</v>
      </c>
      <c r="J32" s="16">
        <v>1</v>
      </c>
      <c r="K32" s="16">
        <v>1</v>
      </c>
      <c r="L32" s="17">
        <v>0</v>
      </c>
      <c r="M32" s="12">
        <v>6</v>
      </c>
      <c r="N32" s="23" t="s">
        <v>46</v>
      </c>
      <c r="O32" s="24"/>
      <c r="P32" s="44">
        <f t="shared" si="4"/>
        <v>113.99999999441206</v>
      </c>
      <c r="Q32" s="47">
        <f t="shared" si="17"/>
        <v>43.033333333209157</v>
      </c>
      <c r="R32" s="44">
        <f t="shared" si="0"/>
        <v>780.47748504398828</v>
      </c>
      <c r="S32" s="45">
        <f t="shared" si="1"/>
        <v>4059</v>
      </c>
      <c r="T32" s="46">
        <f t="shared" si="2"/>
        <v>0</v>
      </c>
      <c r="U32" s="52">
        <v>97.4</v>
      </c>
      <c r="V32" s="44">
        <f t="shared" si="18"/>
        <v>760.18507043284467</v>
      </c>
      <c r="W32" s="47">
        <f t="shared" si="19"/>
        <v>4.9965511219190617</v>
      </c>
      <c r="X32" s="47">
        <f t="shared" si="5"/>
        <v>0.13380000000000003</v>
      </c>
      <c r="Y32" s="53">
        <f t="shared" si="6"/>
        <v>1.3363091459659027E-2</v>
      </c>
      <c r="Z32" s="47">
        <f t="shared" si="7"/>
        <v>5.4995102138157961</v>
      </c>
      <c r="AA32" s="47">
        <f t="shared" si="20"/>
        <v>10.496061335734858</v>
      </c>
      <c r="AC32" s="51">
        <f t="shared" si="3"/>
        <v>4.16</v>
      </c>
    </row>
    <row r="33" spans="1:29" ht="20.25" customHeight="1" x14ac:dyDescent="0.2">
      <c r="A33" s="20">
        <f t="shared" si="8"/>
        <v>28</v>
      </c>
      <c r="B33" s="9">
        <v>42075</v>
      </c>
      <c r="C33" s="10">
        <v>0.53888888888888886</v>
      </c>
      <c r="D33" s="11">
        <v>42.6</v>
      </c>
      <c r="E33" s="12">
        <v>36.9</v>
      </c>
      <c r="F33" s="21">
        <v>810</v>
      </c>
      <c r="G33" s="14">
        <v>0</v>
      </c>
      <c r="H33" s="22"/>
      <c r="I33" s="62"/>
      <c r="J33" s="16">
        <v>1</v>
      </c>
      <c r="K33" s="16">
        <v>1</v>
      </c>
      <c r="L33" s="17">
        <v>0</v>
      </c>
      <c r="M33" s="12">
        <v>6</v>
      </c>
      <c r="N33" s="23" t="s">
        <v>57</v>
      </c>
      <c r="O33" s="24" t="s">
        <v>64</v>
      </c>
      <c r="P33" s="44">
        <f t="shared" si="4"/>
        <v>15.000000006984919</v>
      </c>
      <c r="Q33" s="47">
        <f t="shared" si="17"/>
        <v>43.283333333325572</v>
      </c>
      <c r="R33" s="44">
        <f t="shared" si="0"/>
        <v>803.67677419354845</v>
      </c>
      <c r="S33" s="45">
        <f t="shared" si="1"/>
        <v>4059</v>
      </c>
      <c r="T33" s="46">
        <f t="shared" si="2"/>
        <v>0</v>
      </c>
      <c r="U33" s="52">
        <v>97.4</v>
      </c>
      <c r="V33" s="44">
        <f t="shared" si="18"/>
        <v>782.78117806451633</v>
      </c>
      <c r="W33" s="47">
        <f t="shared" si="19"/>
        <v>5.7793322999835777</v>
      </c>
      <c r="X33" s="47">
        <f t="shared" si="5"/>
        <v>0.13380000000000003</v>
      </c>
      <c r="Y33" s="53">
        <f t="shared" si="6"/>
        <v>1.4406745552182978E-2</v>
      </c>
      <c r="Z33" s="47">
        <f t="shared" si="7"/>
        <v>4.7952571398267381</v>
      </c>
      <c r="AA33" s="47">
        <f t="shared" si="20"/>
        <v>10.574589439810316</v>
      </c>
      <c r="AC33" s="51">
        <f t="shared" si="3"/>
        <v>3.69</v>
      </c>
    </row>
    <row r="34" spans="1:29" ht="20.25" customHeight="1" x14ac:dyDescent="0.2">
      <c r="A34" s="20">
        <f t="shared" si="8"/>
        <v>29</v>
      </c>
      <c r="B34" s="9">
        <v>42075</v>
      </c>
      <c r="C34" s="10">
        <v>0.67083333333333339</v>
      </c>
      <c r="D34" s="11">
        <v>46.4</v>
      </c>
      <c r="E34" s="12">
        <v>41.9</v>
      </c>
      <c r="F34" s="21">
        <f>(I34*E34)/1.1</f>
        <v>792.29090909090905</v>
      </c>
      <c r="G34" s="14">
        <v>0</v>
      </c>
      <c r="H34" s="22"/>
      <c r="I34" s="62">
        <f>4*5.2</f>
        <v>20.8</v>
      </c>
      <c r="J34" s="16">
        <v>1</v>
      </c>
      <c r="K34" s="16">
        <v>1</v>
      </c>
      <c r="L34" s="17">
        <v>0</v>
      </c>
      <c r="M34" s="12">
        <v>6</v>
      </c>
      <c r="N34" s="23" t="s">
        <v>47</v>
      </c>
      <c r="O34" s="24"/>
      <c r="P34" s="44">
        <f t="shared" si="4"/>
        <v>189.99999999068677</v>
      </c>
      <c r="Q34" s="47">
        <f t="shared" si="17"/>
        <v>46.449999999837019</v>
      </c>
      <c r="R34" s="44">
        <f t="shared" si="0"/>
        <v>786.10592844574785</v>
      </c>
      <c r="S34" s="45">
        <f t="shared" si="1"/>
        <v>4059</v>
      </c>
      <c r="T34" s="46">
        <f t="shared" si="2"/>
        <v>0</v>
      </c>
      <c r="U34" s="52">
        <v>97.4</v>
      </c>
      <c r="V34" s="44">
        <f t="shared" si="18"/>
        <v>765.66717430615836</v>
      </c>
      <c r="W34" s="47">
        <f t="shared" si="19"/>
        <v>6.5449994742897362</v>
      </c>
      <c r="X34" s="47">
        <f t="shared" si="5"/>
        <v>0.13380000000000003</v>
      </c>
      <c r="Y34" s="53">
        <f t="shared" si="6"/>
        <v>1.3299102317453066E-2</v>
      </c>
      <c r="Z34" s="47">
        <f t="shared" si="7"/>
        <v>5.5158347716670608</v>
      </c>
      <c r="AA34" s="47">
        <f t="shared" si="20"/>
        <v>12.060834245956798</v>
      </c>
      <c r="AC34" s="51">
        <f t="shared" si="3"/>
        <v>4.1899999999999995</v>
      </c>
    </row>
    <row r="35" spans="1:29" ht="20.25" customHeight="1" x14ac:dyDescent="0.2">
      <c r="A35" s="20">
        <f t="shared" si="8"/>
        <v>30</v>
      </c>
      <c r="B35" s="9">
        <v>42075</v>
      </c>
      <c r="C35" s="10">
        <v>0.68541666666666667</v>
      </c>
      <c r="D35" s="11">
        <v>43</v>
      </c>
      <c r="E35" s="12">
        <v>36.700000000000003</v>
      </c>
      <c r="F35" s="21">
        <v>890</v>
      </c>
      <c r="G35" s="14">
        <v>1</v>
      </c>
      <c r="H35" s="22"/>
      <c r="I35" s="62"/>
      <c r="J35" s="16">
        <v>1</v>
      </c>
      <c r="K35" s="16">
        <v>1</v>
      </c>
      <c r="L35" s="17">
        <v>0</v>
      </c>
      <c r="M35" s="12">
        <v>6</v>
      </c>
      <c r="N35" s="23" t="s">
        <v>60</v>
      </c>
      <c r="O35" s="24"/>
      <c r="P35" s="44">
        <f t="shared" si="4"/>
        <v>21.000000005587935</v>
      </c>
      <c r="Q35" s="47">
        <f t="shared" si="17"/>
        <v>46.799999999930151</v>
      </c>
      <c r="R35" s="44">
        <f t="shared" si="0"/>
        <v>883.0522580645162</v>
      </c>
      <c r="S35" s="45">
        <f t="shared" si="1"/>
        <v>4059</v>
      </c>
      <c r="T35" s="46">
        <f t="shared" si="2"/>
        <v>0</v>
      </c>
      <c r="U35" s="52">
        <v>97.4</v>
      </c>
      <c r="V35" s="44">
        <f t="shared" si="18"/>
        <v>860.09289935483889</v>
      </c>
      <c r="W35" s="47">
        <f t="shared" si="19"/>
        <v>7.4050923736445746</v>
      </c>
      <c r="X35" s="47">
        <f t="shared" si="5"/>
        <v>0.13480000000000003</v>
      </c>
      <c r="Y35" s="53">
        <f t="shared" si="6"/>
        <v>1.4452920979230215E-2</v>
      </c>
      <c r="Z35" s="47">
        <f t="shared" si="7"/>
        <v>4.8019242527397656</v>
      </c>
      <c r="AA35" s="47">
        <f t="shared" si="20"/>
        <v>12.207016626384341</v>
      </c>
      <c r="AC35" s="51">
        <f t="shared" si="3"/>
        <v>3.6700000000000004</v>
      </c>
    </row>
    <row r="36" spans="1:29" ht="20.25" customHeight="1" x14ac:dyDescent="0.2">
      <c r="A36" s="20">
        <f t="shared" si="8"/>
        <v>31</v>
      </c>
      <c r="B36" s="9">
        <v>42075</v>
      </c>
      <c r="C36" s="10">
        <v>0.72638888888888886</v>
      </c>
      <c r="D36" s="11">
        <v>42</v>
      </c>
      <c r="E36" s="12">
        <v>38.700000000000003</v>
      </c>
      <c r="F36" s="21"/>
      <c r="G36" s="14">
        <v>0</v>
      </c>
      <c r="H36" s="22"/>
      <c r="I36" s="62"/>
      <c r="J36" s="16">
        <v>1</v>
      </c>
      <c r="K36" s="16">
        <v>1</v>
      </c>
      <c r="L36" s="17">
        <v>0</v>
      </c>
      <c r="M36" s="12">
        <v>6</v>
      </c>
      <c r="N36" s="23" t="s">
        <v>48</v>
      </c>
      <c r="O36" s="24"/>
      <c r="P36" s="44">
        <f t="shared" si="4"/>
        <v>59.00000000372529</v>
      </c>
      <c r="Q36" s="47">
        <f t="shared" si="17"/>
        <v>47.783333333325572</v>
      </c>
      <c r="R36" s="44">
        <f t="shared" si="0"/>
        <v>0</v>
      </c>
      <c r="S36" s="45">
        <f t="shared" si="1"/>
        <v>4059</v>
      </c>
      <c r="T36" s="46">
        <f t="shared" si="2"/>
        <v>0</v>
      </c>
      <c r="U36" s="52">
        <v>97.4</v>
      </c>
      <c r="V36" s="44">
        <f t="shared" si="18"/>
        <v>0</v>
      </c>
      <c r="W36" s="47">
        <f t="shared" si="19"/>
        <v>7.4050923736445746</v>
      </c>
      <c r="X36" s="47">
        <f t="shared" si="5"/>
        <v>0.13480000000000003</v>
      </c>
      <c r="Y36" s="53">
        <f t="shared" si="6"/>
        <v>1.3997749098654982E-2</v>
      </c>
      <c r="Z36" s="47">
        <f t="shared" si="7"/>
        <v>5.1175463882492211</v>
      </c>
      <c r="AA36" s="47">
        <f t="shared" si="20"/>
        <v>12.522638761893795</v>
      </c>
      <c r="AC36" s="51">
        <f t="shared" si="3"/>
        <v>3.87</v>
      </c>
    </row>
    <row r="37" spans="1:29" ht="20.25" customHeight="1" x14ac:dyDescent="0.2">
      <c r="A37" s="20">
        <f t="shared" si="8"/>
        <v>32</v>
      </c>
      <c r="B37" s="9">
        <v>42075</v>
      </c>
      <c r="C37" s="10">
        <v>0.73819444444444438</v>
      </c>
      <c r="D37" s="11">
        <v>39.6</v>
      </c>
      <c r="E37" s="12">
        <v>33.4</v>
      </c>
      <c r="F37" s="21">
        <v>950</v>
      </c>
      <c r="G37" s="14">
        <v>3</v>
      </c>
      <c r="H37" s="22"/>
      <c r="I37" s="62"/>
      <c r="J37" s="16">
        <v>1</v>
      </c>
      <c r="K37" s="16">
        <v>1</v>
      </c>
      <c r="L37" s="17">
        <v>0</v>
      </c>
      <c r="M37" s="12">
        <v>6</v>
      </c>
      <c r="N37" s="23" t="s">
        <v>61</v>
      </c>
      <c r="O37" s="24"/>
      <c r="P37" s="44">
        <f t="shared" si="4"/>
        <v>16.999999992549419</v>
      </c>
      <c r="Q37" s="47">
        <f t="shared" si="17"/>
        <v>48.066666666534729</v>
      </c>
      <c r="R37" s="44">
        <f t="shared" si="0"/>
        <v>942.58387096774186</v>
      </c>
      <c r="S37" s="45">
        <f t="shared" si="1"/>
        <v>4059</v>
      </c>
      <c r="T37" s="46">
        <f t="shared" si="2"/>
        <v>0</v>
      </c>
      <c r="U37" s="52">
        <v>97.4</v>
      </c>
      <c r="V37" s="44">
        <f t="shared" si="18"/>
        <v>918.0766903225807</v>
      </c>
      <c r="W37" s="47">
        <f t="shared" si="19"/>
        <v>8.3231690639671552</v>
      </c>
      <c r="X37" s="47">
        <f t="shared" si="5"/>
        <v>0.13780000000000003</v>
      </c>
      <c r="Y37" s="53">
        <f t="shared" si="6"/>
        <v>1.5236540726171444E-2</v>
      </c>
      <c r="Z37" s="47">
        <f t="shared" si="7"/>
        <v>4.4771659711322869</v>
      </c>
      <c r="AA37" s="47">
        <f t="shared" si="20"/>
        <v>12.800335035099442</v>
      </c>
      <c r="AC37" s="51">
        <f t="shared" si="3"/>
        <v>3.34</v>
      </c>
    </row>
    <row r="38" spans="1:29" ht="20.25" customHeight="1" x14ac:dyDescent="0.2">
      <c r="A38" s="20">
        <f t="shared" si="8"/>
        <v>33</v>
      </c>
      <c r="B38" s="9">
        <v>42075</v>
      </c>
      <c r="C38" s="10">
        <v>0.82361111111111107</v>
      </c>
      <c r="D38" s="11">
        <v>37.799999999999997</v>
      </c>
      <c r="E38" s="12">
        <v>33.9</v>
      </c>
      <c r="F38" s="21">
        <f>(I38*E38)/1.1</f>
        <v>641.0181818181818</v>
      </c>
      <c r="G38" s="14">
        <v>0</v>
      </c>
      <c r="H38" s="22"/>
      <c r="I38" s="62">
        <f>4*5.2</f>
        <v>20.8</v>
      </c>
      <c r="J38" s="16">
        <v>1</v>
      </c>
      <c r="K38" s="16">
        <v>1</v>
      </c>
      <c r="L38" s="17">
        <v>0</v>
      </c>
      <c r="M38" s="12">
        <v>6</v>
      </c>
      <c r="N38" s="23" t="s">
        <v>65</v>
      </c>
      <c r="O38" s="24"/>
      <c r="P38" s="44">
        <f t="shared" si="4"/>
        <v>123.00000000279397</v>
      </c>
      <c r="Q38" s="47">
        <f t="shared" si="17"/>
        <v>50.116666666581295</v>
      </c>
      <c r="R38" s="44">
        <f t="shared" ref="R38:R69" si="22">F38*$F$2/1000*273/(273+M38)</f>
        <v>636.01410439882704</v>
      </c>
      <c r="S38" s="45">
        <f t="shared" ref="S38:S69" si="23">$O$2-L38</f>
        <v>4059</v>
      </c>
      <c r="T38" s="46">
        <f t="shared" ref="T38:T69" si="24">IF(J38=K38,0,S38*(K38-J38))*273/(273+M38)</f>
        <v>0</v>
      </c>
      <c r="U38" s="52">
        <v>97.4</v>
      </c>
      <c r="V38" s="44">
        <f t="shared" si="18"/>
        <v>619.47773768445757</v>
      </c>
      <c r="W38" s="47">
        <f t="shared" si="19"/>
        <v>8.9426468016516125</v>
      </c>
      <c r="X38" s="47">
        <f t="shared" si="5"/>
        <v>0.13780000000000003</v>
      </c>
      <c r="Y38" s="53">
        <f t="shared" si="6"/>
        <v>1.5115134672076714E-2</v>
      </c>
      <c r="Z38" s="47">
        <f t="shared" si="7"/>
        <v>4.587483376951961</v>
      </c>
      <c r="AA38" s="47">
        <f t="shared" si="20"/>
        <v>13.530130178603574</v>
      </c>
      <c r="AC38" s="51">
        <f t="shared" ref="AC38:AC69" si="25">E38/10</f>
        <v>3.3899999999999997</v>
      </c>
    </row>
    <row r="39" spans="1:29" ht="20.25" customHeight="1" x14ac:dyDescent="0.2">
      <c r="A39" s="20">
        <f t="shared" si="8"/>
        <v>34</v>
      </c>
      <c r="B39" s="9">
        <v>42075</v>
      </c>
      <c r="C39" s="10">
        <v>0.8340277777777777</v>
      </c>
      <c r="D39" s="11">
        <v>34</v>
      </c>
      <c r="E39" s="12">
        <v>28.8</v>
      </c>
      <c r="F39" s="21">
        <v>820</v>
      </c>
      <c r="G39" s="14">
        <v>0</v>
      </c>
      <c r="H39" s="22"/>
      <c r="I39" s="62"/>
      <c r="J39" s="16">
        <v>1</v>
      </c>
      <c r="K39" s="16">
        <v>1</v>
      </c>
      <c r="L39" s="17">
        <v>0</v>
      </c>
      <c r="M39" s="12">
        <v>6</v>
      </c>
      <c r="N39" s="23" t="s">
        <v>66</v>
      </c>
      <c r="O39" s="24"/>
      <c r="P39" s="44">
        <f t="shared" ref="P39:P70" si="26">((B39 +C39) - (B38 + C38)) * 24 * 60</f>
        <v>14.99999999650754</v>
      </c>
      <c r="Q39" s="47">
        <f t="shared" si="17"/>
        <v>50.366666666523088</v>
      </c>
      <c r="R39" s="44">
        <f t="shared" si="22"/>
        <v>813.59870967741938</v>
      </c>
      <c r="S39" s="45">
        <f t="shared" si="23"/>
        <v>4059</v>
      </c>
      <c r="T39" s="46">
        <f t="shared" si="24"/>
        <v>0</v>
      </c>
      <c r="U39" s="52">
        <v>97.4</v>
      </c>
      <c r="V39" s="44">
        <f t="shared" si="18"/>
        <v>792.44514322580653</v>
      </c>
      <c r="W39" s="47">
        <f t="shared" si="19"/>
        <v>9.7350919448774196</v>
      </c>
      <c r="X39" s="47">
        <f t="shared" ref="X39:X70" si="27">X38+(G39+L39)/1000</f>
        <v>0.13780000000000003</v>
      </c>
      <c r="Y39" s="53">
        <f t="shared" ref="Y39:Y70" si="28">0.026*EXP(-0.016*E39)</f>
        <v>1.6400249334233133E-2</v>
      </c>
      <c r="Z39" s="47">
        <f t="shared" ref="Z39:Z70" si="29">(X39-(Y39-Y38))*(E39+1)*1*273/(273+M39)*U39/100</f>
        <v>3.8771595520604949</v>
      </c>
      <c r="AA39" s="47">
        <f t="shared" si="20"/>
        <v>13.612251496937915</v>
      </c>
      <c r="AC39" s="51">
        <f t="shared" si="25"/>
        <v>2.88</v>
      </c>
    </row>
    <row r="40" spans="1:29" ht="20.25" customHeight="1" x14ac:dyDescent="0.2">
      <c r="A40" s="20">
        <f t="shared" si="8"/>
        <v>35</v>
      </c>
      <c r="B40" s="9">
        <v>42075</v>
      </c>
      <c r="C40" s="10">
        <v>0.93055555555555547</v>
      </c>
      <c r="D40" s="11">
        <v>29.8</v>
      </c>
      <c r="E40" s="12">
        <v>26.4</v>
      </c>
      <c r="F40" s="21">
        <f>(I40*E40)/1.1</f>
        <v>499.2</v>
      </c>
      <c r="G40" s="14">
        <v>0</v>
      </c>
      <c r="H40" s="22"/>
      <c r="I40" s="62">
        <f>4*5.2</f>
        <v>20.8</v>
      </c>
      <c r="J40" s="16">
        <v>1</v>
      </c>
      <c r="K40" s="16">
        <v>1</v>
      </c>
      <c r="L40" s="17">
        <v>0</v>
      </c>
      <c r="M40" s="12">
        <v>6</v>
      </c>
      <c r="N40" s="23" t="s">
        <v>67</v>
      </c>
      <c r="O40" s="24"/>
      <c r="P40" s="44">
        <f t="shared" si="26"/>
        <v>139.00000000256114</v>
      </c>
      <c r="Q40" s="47">
        <f t="shared" si="17"/>
        <v>52.68333333323244</v>
      </c>
      <c r="R40" s="44">
        <f t="shared" si="22"/>
        <v>495.30301935483874</v>
      </c>
      <c r="S40" s="45">
        <f t="shared" si="23"/>
        <v>4059</v>
      </c>
      <c r="T40" s="46">
        <f t="shared" si="24"/>
        <v>0</v>
      </c>
      <c r="U40" s="52">
        <v>97.4</v>
      </c>
      <c r="V40" s="44">
        <f t="shared" si="18"/>
        <v>482.42514085161298</v>
      </c>
      <c r="W40" s="47">
        <f t="shared" si="19"/>
        <v>10.217517085729032</v>
      </c>
      <c r="X40" s="47">
        <f t="shared" si="27"/>
        <v>0.13780000000000003</v>
      </c>
      <c r="Y40" s="53">
        <f t="shared" si="28"/>
        <v>1.7042266753964756E-2</v>
      </c>
      <c r="Z40" s="47">
        <f t="shared" si="29"/>
        <v>3.5816987226638126</v>
      </c>
      <c r="AA40" s="47">
        <f t="shared" si="20"/>
        <v>13.799215808392844</v>
      </c>
      <c r="AC40" s="51">
        <f t="shared" si="25"/>
        <v>2.6399999999999997</v>
      </c>
    </row>
    <row r="41" spans="1:29" ht="20.25" customHeight="1" x14ac:dyDescent="0.2">
      <c r="A41" s="20">
        <f t="shared" si="8"/>
        <v>36</v>
      </c>
      <c r="B41" s="9">
        <v>42075</v>
      </c>
      <c r="C41" s="10">
        <v>0.94166666666666676</v>
      </c>
      <c r="D41" s="11">
        <v>26.5</v>
      </c>
      <c r="E41" s="12">
        <v>19.7</v>
      </c>
      <c r="F41" s="21">
        <v>865</v>
      </c>
      <c r="G41" s="14">
        <v>0</v>
      </c>
      <c r="H41" s="22"/>
      <c r="I41" s="62"/>
      <c r="J41" s="16">
        <v>1</v>
      </c>
      <c r="K41" s="16">
        <v>1</v>
      </c>
      <c r="L41" s="17">
        <v>0</v>
      </c>
      <c r="M41" s="12">
        <v>6</v>
      </c>
      <c r="N41" s="23" t="s">
        <v>68</v>
      </c>
      <c r="O41" s="24"/>
      <c r="P41" s="44">
        <f t="shared" si="26"/>
        <v>15.999999999767169</v>
      </c>
      <c r="Q41" s="47">
        <f t="shared" si="17"/>
        <v>52.949999999895226</v>
      </c>
      <c r="R41" s="44">
        <f t="shared" si="22"/>
        <v>858.24741935483871</v>
      </c>
      <c r="S41" s="45">
        <f t="shared" si="23"/>
        <v>4059</v>
      </c>
      <c r="T41" s="46">
        <f t="shared" si="24"/>
        <v>0</v>
      </c>
      <c r="U41" s="52">
        <v>97.4</v>
      </c>
      <c r="V41" s="44">
        <f t="shared" si="18"/>
        <v>835.93298645161292</v>
      </c>
      <c r="W41" s="47">
        <f t="shared" si="19"/>
        <v>11.053450072180645</v>
      </c>
      <c r="X41" s="47">
        <f t="shared" si="27"/>
        <v>0.13780000000000003</v>
      </c>
      <c r="Y41" s="53">
        <f t="shared" si="28"/>
        <v>1.8970716208314194E-2</v>
      </c>
      <c r="Z41" s="47">
        <f t="shared" si="29"/>
        <v>2.6805028766560013</v>
      </c>
      <c r="AA41" s="47">
        <f t="shared" si="20"/>
        <v>13.733952948836647</v>
      </c>
      <c r="AC41" s="51">
        <f t="shared" si="25"/>
        <v>1.97</v>
      </c>
    </row>
    <row r="42" spans="1:29" ht="20.25" customHeight="1" x14ac:dyDescent="0.2">
      <c r="A42" s="20">
        <f t="shared" si="8"/>
        <v>37</v>
      </c>
      <c r="B42" s="9">
        <v>42076</v>
      </c>
      <c r="C42" s="10">
        <v>0.4236111111111111</v>
      </c>
      <c r="D42" s="11">
        <v>20.95</v>
      </c>
      <c r="E42" s="12">
        <v>19.100000000000001</v>
      </c>
      <c r="F42" s="21">
        <f>(I42*E42)/1.1</f>
        <v>361.16363636363639</v>
      </c>
      <c r="G42" s="14">
        <v>0</v>
      </c>
      <c r="H42" s="22"/>
      <c r="I42" s="62">
        <f>4*5.2</f>
        <v>20.8</v>
      </c>
      <c r="J42" s="16">
        <v>1</v>
      </c>
      <c r="K42" s="16">
        <v>1</v>
      </c>
      <c r="L42" s="17">
        <v>0</v>
      </c>
      <c r="M42" s="12">
        <v>6</v>
      </c>
      <c r="N42" s="23" t="s">
        <v>69</v>
      </c>
      <c r="O42" s="24"/>
      <c r="P42" s="44">
        <f t="shared" si="26"/>
        <v>693.99999999906868</v>
      </c>
      <c r="Q42" s="47">
        <f t="shared" si="17"/>
        <v>64.516666666546371</v>
      </c>
      <c r="R42" s="44">
        <f t="shared" si="22"/>
        <v>358.34422991202354</v>
      </c>
      <c r="S42" s="45">
        <f t="shared" si="23"/>
        <v>4059</v>
      </c>
      <c r="T42" s="46">
        <f t="shared" si="24"/>
        <v>0</v>
      </c>
      <c r="U42" s="52">
        <v>97.4</v>
      </c>
      <c r="V42" s="44">
        <f t="shared" si="18"/>
        <v>349.02727993431091</v>
      </c>
      <c r="W42" s="47">
        <f t="shared" si="19"/>
        <v>11.402477352114957</v>
      </c>
      <c r="X42" s="47">
        <f t="shared" si="27"/>
        <v>0.13780000000000003</v>
      </c>
      <c r="Y42" s="53">
        <f t="shared" si="28"/>
        <v>1.9153712058589359E-2</v>
      </c>
      <c r="Z42" s="47">
        <f t="shared" si="29"/>
        <v>2.6362437147388702</v>
      </c>
      <c r="AA42" s="47">
        <f t="shared" si="20"/>
        <v>14.038721066853828</v>
      </c>
      <c r="AC42" s="51">
        <f t="shared" si="25"/>
        <v>1.9100000000000001</v>
      </c>
    </row>
    <row r="43" spans="1:29" ht="15" x14ac:dyDescent="0.2">
      <c r="A43" s="20">
        <f t="shared" si="8"/>
        <v>38</v>
      </c>
      <c r="B43" s="9">
        <v>42076</v>
      </c>
      <c r="C43" s="10">
        <v>0.43333333333333335</v>
      </c>
      <c r="D43" s="11">
        <v>19.2</v>
      </c>
      <c r="E43" s="12">
        <v>17.399999999999999</v>
      </c>
      <c r="F43" s="21">
        <v>905</v>
      </c>
      <c r="G43" s="14">
        <v>0</v>
      </c>
      <c r="H43" s="22"/>
      <c r="I43" s="62"/>
      <c r="J43" s="16">
        <v>1</v>
      </c>
      <c r="K43" s="16">
        <v>1</v>
      </c>
      <c r="L43" s="17">
        <v>0</v>
      </c>
      <c r="M43" s="12">
        <v>6</v>
      </c>
      <c r="N43" s="23" t="s">
        <v>70</v>
      </c>
      <c r="O43" s="24"/>
      <c r="P43" s="44">
        <f t="shared" si="26"/>
        <v>14.00000000372529</v>
      </c>
      <c r="Q43" s="47">
        <f t="shared" si="17"/>
        <v>64.749999999941792</v>
      </c>
      <c r="R43" s="44">
        <f t="shared" si="22"/>
        <v>897.93516129032253</v>
      </c>
      <c r="S43" s="45">
        <f t="shared" si="23"/>
        <v>4059</v>
      </c>
      <c r="T43" s="46">
        <f t="shared" si="24"/>
        <v>0</v>
      </c>
      <c r="U43" s="52">
        <v>97.4</v>
      </c>
      <c r="V43" s="44">
        <f t="shared" si="18"/>
        <v>874.58884709677432</v>
      </c>
      <c r="W43" s="47">
        <f t="shared" si="19"/>
        <v>12.277066199211731</v>
      </c>
      <c r="X43" s="47">
        <f t="shared" si="27"/>
        <v>0.13780000000000003</v>
      </c>
      <c r="Y43" s="53">
        <f t="shared" si="28"/>
        <v>1.9681843047396362E-2</v>
      </c>
      <c r="Z43" s="47">
        <f t="shared" si="29"/>
        <v>2.4072254733124812</v>
      </c>
      <c r="AA43" s="47">
        <f t="shared" si="20"/>
        <v>14.684291672524212</v>
      </c>
      <c r="AC43" s="51">
        <f t="shared" si="25"/>
        <v>1.7399999999999998</v>
      </c>
    </row>
    <row r="44" spans="1:29" ht="20.25" customHeight="1" x14ac:dyDescent="0.2">
      <c r="A44" s="20">
        <f t="shared" si="8"/>
        <v>39</v>
      </c>
      <c r="B44" s="9">
        <v>42076</v>
      </c>
      <c r="C44" s="10">
        <v>0.48819444444444443</v>
      </c>
      <c r="D44" s="11">
        <v>13.1</v>
      </c>
      <c r="E44" s="12">
        <v>12.03</v>
      </c>
      <c r="F44" s="21">
        <f>(I44*E44)/1.1</f>
        <v>284.34545454545452</v>
      </c>
      <c r="G44" s="14">
        <v>0</v>
      </c>
      <c r="H44" s="22"/>
      <c r="I44" s="62">
        <f>5*5.2</f>
        <v>26</v>
      </c>
      <c r="J44" s="16">
        <v>1</v>
      </c>
      <c r="K44" s="16">
        <v>1</v>
      </c>
      <c r="L44" s="17">
        <v>0</v>
      </c>
      <c r="M44" s="12">
        <v>6</v>
      </c>
      <c r="N44" s="23" t="s">
        <v>71</v>
      </c>
      <c r="O44" s="24"/>
      <c r="P44" s="44">
        <f t="shared" si="26"/>
        <v>78.999999995576218</v>
      </c>
      <c r="Q44" s="47">
        <f t="shared" si="17"/>
        <v>66.066666666534729</v>
      </c>
      <c r="R44" s="44">
        <f t="shared" si="22"/>
        <v>282.12572551319653</v>
      </c>
      <c r="S44" s="45">
        <f t="shared" si="23"/>
        <v>4059</v>
      </c>
      <c r="T44" s="46">
        <f t="shared" si="24"/>
        <v>0</v>
      </c>
      <c r="U44" s="52">
        <v>97.4</v>
      </c>
      <c r="V44" s="44">
        <f t="shared" si="18"/>
        <v>274.79045664985347</v>
      </c>
      <c r="W44" s="47">
        <f t="shared" si="19"/>
        <v>12.551856655861584</v>
      </c>
      <c r="X44" s="47">
        <f t="shared" si="27"/>
        <v>0.13780000000000003</v>
      </c>
      <c r="Y44" s="53">
        <f t="shared" si="28"/>
        <v>2.1447681222628634E-2</v>
      </c>
      <c r="Z44" s="47">
        <f t="shared" si="29"/>
        <v>1.6893117445835415</v>
      </c>
      <c r="AA44" s="47">
        <f t="shared" si="20"/>
        <v>14.241168400445126</v>
      </c>
      <c r="AC44" s="51">
        <f t="shared" si="25"/>
        <v>1.2029999999999998</v>
      </c>
    </row>
    <row r="45" spans="1:29" ht="20.25" customHeight="1" x14ac:dyDescent="0.2">
      <c r="A45" s="20">
        <f t="shared" si="8"/>
        <v>40</v>
      </c>
      <c r="B45" s="9">
        <v>42076</v>
      </c>
      <c r="C45" s="10">
        <v>0.4993055555555555</v>
      </c>
      <c r="D45" s="11">
        <v>12.1</v>
      </c>
      <c r="E45" s="12">
        <v>6.7</v>
      </c>
      <c r="F45" s="21">
        <v>970</v>
      </c>
      <c r="G45" s="14">
        <v>0</v>
      </c>
      <c r="H45" s="22"/>
      <c r="I45" s="62"/>
      <c r="J45" s="16">
        <v>1</v>
      </c>
      <c r="K45" s="16">
        <v>1</v>
      </c>
      <c r="L45" s="17">
        <v>0</v>
      </c>
      <c r="M45" s="12">
        <v>6</v>
      </c>
      <c r="N45" s="23" t="s">
        <v>72</v>
      </c>
      <c r="O45" s="24"/>
      <c r="P45" s="44">
        <f t="shared" si="26"/>
        <v>15.999999999767169</v>
      </c>
      <c r="Q45" s="47">
        <f t="shared" si="17"/>
        <v>66.333333333197515</v>
      </c>
      <c r="R45" s="44">
        <f t="shared" si="22"/>
        <v>962.42774193548394</v>
      </c>
      <c r="S45" s="45">
        <f t="shared" si="23"/>
        <v>4059</v>
      </c>
      <c r="T45" s="46">
        <f t="shared" si="24"/>
        <v>0</v>
      </c>
      <c r="U45" s="52">
        <v>97.4</v>
      </c>
      <c r="V45" s="44">
        <f t="shared" si="18"/>
        <v>937.40462064516134</v>
      </c>
      <c r="W45" s="47">
        <f t="shared" si="19"/>
        <v>13.489261276506745</v>
      </c>
      <c r="X45" s="47">
        <f t="shared" si="27"/>
        <v>0.13780000000000003</v>
      </c>
      <c r="Y45" s="53">
        <f t="shared" si="28"/>
        <v>2.3356995631450599E-2</v>
      </c>
      <c r="Z45" s="47">
        <f t="shared" si="29"/>
        <v>0.99723569575807824</v>
      </c>
      <c r="AA45" s="47">
        <f t="shared" si="20"/>
        <v>14.486496972264824</v>
      </c>
      <c r="AC45" s="51">
        <f t="shared" si="25"/>
        <v>0.67</v>
      </c>
    </row>
    <row r="46" spans="1:29" ht="20.25" customHeight="1" x14ac:dyDescent="0.2">
      <c r="A46" s="20">
        <f t="shared" si="8"/>
        <v>41</v>
      </c>
      <c r="B46" s="9">
        <v>42076</v>
      </c>
      <c r="C46" s="10">
        <v>0.54166666666666663</v>
      </c>
      <c r="D46" s="11">
        <v>7.3</v>
      </c>
      <c r="E46" s="12">
        <v>6.7</v>
      </c>
      <c r="F46" s="21">
        <f>(I46*E46)/1.1</f>
        <v>158.36363636363637</v>
      </c>
      <c r="G46" s="14">
        <v>0</v>
      </c>
      <c r="H46" s="22"/>
      <c r="I46" s="62">
        <f>5*5.2</f>
        <v>26</v>
      </c>
      <c r="J46" s="16">
        <v>1</v>
      </c>
      <c r="K46" s="16">
        <v>1</v>
      </c>
      <c r="L46" s="17">
        <v>0</v>
      </c>
      <c r="M46" s="12">
        <v>6</v>
      </c>
      <c r="N46" s="23" t="s">
        <v>73</v>
      </c>
      <c r="O46" s="24"/>
      <c r="P46" s="44">
        <f t="shared" si="26"/>
        <v>60.999999999767169</v>
      </c>
      <c r="Q46" s="47">
        <f t="shared" si="17"/>
        <v>67.349999999860302</v>
      </c>
      <c r="R46" s="44">
        <f t="shared" si="22"/>
        <v>157.12737829912027</v>
      </c>
      <c r="S46" s="45">
        <f t="shared" si="23"/>
        <v>4059</v>
      </c>
      <c r="T46" s="46">
        <f t="shared" si="24"/>
        <v>0</v>
      </c>
      <c r="U46" s="52">
        <v>97.4</v>
      </c>
      <c r="V46" s="44">
        <f t="shared" si="18"/>
        <v>153.04206646334313</v>
      </c>
      <c r="W46" s="47">
        <f t="shared" si="19"/>
        <v>13.642303342970088</v>
      </c>
      <c r="X46" s="47">
        <f t="shared" si="27"/>
        <v>0.13780000000000003</v>
      </c>
      <c r="Y46" s="53">
        <f t="shared" si="28"/>
        <v>2.3356995631450599E-2</v>
      </c>
      <c r="Z46" s="47">
        <f t="shared" si="29"/>
        <v>1.0112472262365595</v>
      </c>
      <c r="AA46" s="47">
        <f t="shared" si="20"/>
        <v>14.653550569206647</v>
      </c>
      <c r="AC46" s="51">
        <f t="shared" si="25"/>
        <v>0.67</v>
      </c>
    </row>
    <row r="47" spans="1:29" ht="20.25" customHeight="1" x14ac:dyDescent="0.2">
      <c r="A47" s="20">
        <f t="shared" si="8"/>
        <v>42</v>
      </c>
      <c r="B47" s="9">
        <v>42076</v>
      </c>
      <c r="C47" s="10">
        <v>0.5541666666666667</v>
      </c>
      <c r="D47" s="11">
        <v>6.7</v>
      </c>
      <c r="E47" s="12">
        <v>0.1</v>
      </c>
      <c r="F47" s="21">
        <v>1420</v>
      </c>
      <c r="G47" s="14">
        <v>0</v>
      </c>
      <c r="H47" s="22"/>
      <c r="I47" s="62"/>
      <c r="J47" s="16">
        <v>1</v>
      </c>
      <c r="K47" s="16">
        <v>1</v>
      </c>
      <c r="L47" s="17">
        <v>0</v>
      </c>
      <c r="M47" s="12">
        <v>6</v>
      </c>
      <c r="N47" s="23" t="s">
        <v>76</v>
      </c>
      <c r="O47" s="24"/>
      <c r="P47" s="44">
        <f t="shared" si="26"/>
        <v>18.000000006286427</v>
      </c>
      <c r="Q47" s="47">
        <f t="shared" si="17"/>
        <v>67.649999999965075</v>
      </c>
      <c r="R47" s="44">
        <f t="shared" si="22"/>
        <v>1408.9148387096775</v>
      </c>
      <c r="S47" s="45">
        <f t="shared" si="23"/>
        <v>4059</v>
      </c>
      <c r="T47" s="46">
        <f t="shared" si="24"/>
        <v>0</v>
      </c>
      <c r="U47" s="52">
        <v>97.4</v>
      </c>
      <c r="V47" s="44">
        <f t="shared" si="18"/>
        <v>1372.283052903226</v>
      </c>
      <c r="W47" s="47">
        <f t="shared" si="19"/>
        <v>15.014586395873314</v>
      </c>
      <c r="X47" s="47">
        <f t="shared" si="27"/>
        <v>0.13780000000000003</v>
      </c>
      <c r="Y47" s="53">
        <f t="shared" si="28"/>
        <v>2.5958433262257764E-2</v>
      </c>
      <c r="Z47" s="47">
        <f t="shared" si="29"/>
        <v>0.14173664854552845</v>
      </c>
      <c r="AA47" s="47">
        <f t="shared" si="20"/>
        <v>15.156323044418842</v>
      </c>
      <c r="AC47" s="51">
        <f t="shared" si="25"/>
        <v>0.01</v>
      </c>
    </row>
    <row r="48" spans="1:29" ht="20.25" customHeight="1" x14ac:dyDescent="0.2">
      <c r="A48" s="20">
        <f t="shared" si="8"/>
        <v>43</v>
      </c>
      <c r="B48" s="9">
        <v>42076</v>
      </c>
      <c r="C48" s="10">
        <v>0.56180555555555556</v>
      </c>
      <c r="D48" s="11">
        <v>0.3</v>
      </c>
      <c r="E48" s="12"/>
      <c r="F48" s="21">
        <v>0</v>
      </c>
      <c r="G48" s="14">
        <v>0</v>
      </c>
      <c r="H48" s="22"/>
      <c r="I48" s="62"/>
      <c r="J48" s="16">
        <v>1</v>
      </c>
      <c r="K48" s="16">
        <v>1</v>
      </c>
      <c r="L48" s="17">
        <v>0</v>
      </c>
      <c r="M48" s="12">
        <v>6</v>
      </c>
      <c r="N48" s="23" t="s">
        <v>74</v>
      </c>
      <c r="O48" s="24"/>
      <c r="P48" s="44">
        <f t="shared" si="26"/>
        <v>10.999999993946403</v>
      </c>
      <c r="Q48" s="47">
        <f t="shared" si="17"/>
        <v>67.833333333197515</v>
      </c>
      <c r="R48" s="44">
        <f t="shared" si="22"/>
        <v>0</v>
      </c>
      <c r="S48" s="45">
        <f t="shared" si="23"/>
        <v>4059</v>
      </c>
      <c r="T48" s="46">
        <f t="shared" si="24"/>
        <v>0</v>
      </c>
      <c r="U48" s="52">
        <v>97.4</v>
      </c>
      <c r="V48" s="44">
        <f t="shared" si="18"/>
        <v>0</v>
      </c>
      <c r="W48" s="47">
        <f t="shared" si="19"/>
        <v>15.014586395873314</v>
      </c>
      <c r="X48" s="47">
        <f t="shared" si="27"/>
        <v>0.13780000000000003</v>
      </c>
      <c r="Y48" s="53">
        <f t="shared" si="28"/>
        <v>2.5999999999999999E-2</v>
      </c>
      <c r="Z48" s="47">
        <f t="shared" si="29"/>
        <v>0.13129119326631136</v>
      </c>
      <c r="AA48" s="47">
        <f t="shared" si="20"/>
        <v>15.145877589139625</v>
      </c>
      <c r="AC48" s="51">
        <f t="shared" si="25"/>
        <v>0</v>
      </c>
    </row>
    <row r="49" spans="1:33" ht="20.25" customHeight="1" x14ac:dyDescent="0.2">
      <c r="A49" s="20">
        <f t="shared" si="8"/>
        <v>44</v>
      </c>
      <c r="B49" s="9">
        <v>42076</v>
      </c>
      <c r="C49" s="10">
        <v>0.6069444444444444</v>
      </c>
      <c r="D49" s="11"/>
      <c r="E49" s="12">
        <v>-0.2</v>
      </c>
      <c r="F49" s="21">
        <v>190</v>
      </c>
      <c r="G49" s="14">
        <v>0</v>
      </c>
      <c r="H49" s="22"/>
      <c r="I49" s="62"/>
      <c r="J49" s="16">
        <v>1</v>
      </c>
      <c r="K49" s="16">
        <v>1</v>
      </c>
      <c r="L49" s="17">
        <v>0</v>
      </c>
      <c r="M49" s="12">
        <v>6</v>
      </c>
      <c r="N49" s="23" t="s">
        <v>75</v>
      </c>
      <c r="O49" s="24"/>
      <c r="P49" s="44">
        <f t="shared" si="26"/>
        <v>65.000000002328306</v>
      </c>
      <c r="Q49" s="47">
        <f t="shared" si="17"/>
        <v>68.916666666569654</v>
      </c>
      <c r="R49" s="44">
        <f t="shared" si="22"/>
        <v>188.5167741935484</v>
      </c>
      <c r="S49" s="45">
        <f t="shared" si="23"/>
        <v>4059</v>
      </c>
      <c r="T49" s="46">
        <f t="shared" si="24"/>
        <v>0</v>
      </c>
      <c r="U49" s="52">
        <v>97.4</v>
      </c>
      <c r="V49" s="44">
        <f t="shared" si="18"/>
        <v>183.61533806451615</v>
      </c>
      <c r="W49" s="47">
        <f t="shared" si="19"/>
        <v>15.198201733937831</v>
      </c>
      <c r="X49" s="47">
        <f t="shared" si="27"/>
        <v>0.13780000000000003</v>
      </c>
      <c r="Y49" s="53">
        <f t="shared" si="28"/>
        <v>2.6083333262108335E-2</v>
      </c>
      <c r="Z49" s="47">
        <f t="shared" si="29"/>
        <v>0.10500111001846277</v>
      </c>
      <c r="AA49" s="47">
        <f t="shared" si="20"/>
        <v>15.303202843956294</v>
      </c>
      <c r="AC49" s="51">
        <f t="shared" si="25"/>
        <v>-0.02</v>
      </c>
    </row>
    <row r="50" spans="1:33" ht="20.25" customHeight="1" x14ac:dyDescent="0.2">
      <c r="A50" s="20">
        <f t="shared" si="8"/>
        <v>45</v>
      </c>
      <c r="B50" s="9"/>
      <c r="C50" s="10"/>
      <c r="D50" s="11"/>
      <c r="E50" s="12"/>
      <c r="F50" s="21"/>
      <c r="G50" s="14"/>
      <c r="H50" s="22"/>
      <c r="I50" s="62"/>
      <c r="J50" s="16">
        <v>1</v>
      </c>
      <c r="K50" s="16">
        <v>1</v>
      </c>
      <c r="L50" s="17">
        <v>0</v>
      </c>
      <c r="M50" s="12">
        <v>6</v>
      </c>
      <c r="N50" s="23"/>
      <c r="O50" s="24"/>
      <c r="P50" s="44">
        <f t="shared" si="26"/>
        <v>-60590314</v>
      </c>
      <c r="Q50" s="47">
        <f t="shared" si="17"/>
        <v>-1009769.6500000001</v>
      </c>
      <c r="R50" s="44">
        <f t="shared" si="22"/>
        <v>0</v>
      </c>
      <c r="S50" s="45">
        <f t="shared" si="23"/>
        <v>4059</v>
      </c>
      <c r="T50" s="46">
        <f t="shared" si="24"/>
        <v>0</v>
      </c>
      <c r="U50" s="52">
        <v>97.4</v>
      </c>
      <c r="V50" s="44">
        <f t="shared" si="18"/>
        <v>0</v>
      </c>
      <c r="W50" s="47">
        <f t="shared" si="19"/>
        <v>15.198201733937831</v>
      </c>
      <c r="X50" s="47">
        <f t="shared" si="27"/>
        <v>0.13780000000000003</v>
      </c>
      <c r="Y50" s="53">
        <f t="shared" si="28"/>
        <v>2.5999999999999999E-2</v>
      </c>
      <c r="Z50" s="47">
        <f t="shared" si="29"/>
        <v>0.13141022968122271</v>
      </c>
      <c r="AA50" s="47">
        <f t="shared" si="20"/>
        <v>15.329611963619053</v>
      </c>
      <c r="AC50" s="51">
        <f t="shared" si="25"/>
        <v>0</v>
      </c>
    </row>
    <row r="51" spans="1:33" ht="20.25" customHeight="1" x14ac:dyDescent="0.2">
      <c r="A51" s="20">
        <f t="shared" si="8"/>
        <v>46</v>
      </c>
      <c r="B51" s="9"/>
      <c r="C51" s="10"/>
      <c r="D51" s="11"/>
      <c r="E51" s="12"/>
      <c r="F51" s="21"/>
      <c r="G51" s="14"/>
      <c r="H51" s="22"/>
      <c r="I51" s="62"/>
      <c r="J51" s="16">
        <v>1</v>
      </c>
      <c r="K51" s="16">
        <v>1</v>
      </c>
      <c r="L51" s="17">
        <v>0</v>
      </c>
      <c r="M51" s="12">
        <v>6</v>
      </c>
      <c r="N51" s="23"/>
      <c r="O51" s="24"/>
      <c r="P51" s="44">
        <f t="shared" si="26"/>
        <v>0</v>
      </c>
      <c r="Q51" s="47">
        <f t="shared" si="17"/>
        <v>-1009769.6500000001</v>
      </c>
      <c r="R51" s="44">
        <f t="shared" si="22"/>
        <v>0</v>
      </c>
      <c r="S51" s="45">
        <f t="shared" si="23"/>
        <v>4059</v>
      </c>
      <c r="T51" s="46">
        <f t="shared" si="24"/>
        <v>0</v>
      </c>
      <c r="U51" s="52">
        <v>97.4</v>
      </c>
      <c r="V51" s="44">
        <f t="shared" si="18"/>
        <v>0</v>
      </c>
      <c r="W51" s="47">
        <f t="shared" si="19"/>
        <v>15.198201733937831</v>
      </c>
      <c r="X51" s="47">
        <f t="shared" si="27"/>
        <v>0.13780000000000003</v>
      </c>
      <c r="Y51" s="53">
        <f t="shared" si="28"/>
        <v>2.5999999999999999E-2</v>
      </c>
      <c r="Z51" s="47">
        <f t="shared" si="29"/>
        <v>0.13133080860215057</v>
      </c>
      <c r="AA51" s="47">
        <f t="shared" si="20"/>
        <v>15.329532542539981</v>
      </c>
      <c r="AC51" s="51">
        <f t="shared" si="25"/>
        <v>0</v>
      </c>
    </row>
    <row r="52" spans="1:33" ht="20.25" customHeight="1" x14ac:dyDescent="0.2">
      <c r="A52" s="20">
        <f t="shared" si="8"/>
        <v>47</v>
      </c>
      <c r="B52" s="9"/>
      <c r="C52" s="10"/>
      <c r="D52" s="11"/>
      <c r="E52" s="12"/>
      <c r="F52" s="21"/>
      <c r="G52" s="14"/>
      <c r="H52" s="22"/>
      <c r="I52" s="62"/>
      <c r="J52" s="16">
        <v>1</v>
      </c>
      <c r="K52" s="16">
        <v>1</v>
      </c>
      <c r="L52" s="17">
        <v>0</v>
      </c>
      <c r="M52" s="12">
        <v>6</v>
      </c>
      <c r="N52" s="23"/>
      <c r="O52" s="24"/>
      <c r="P52" s="44">
        <f t="shared" si="26"/>
        <v>0</v>
      </c>
      <c r="Q52" s="47">
        <f t="shared" si="17"/>
        <v>-1009769.6500000001</v>
      </c>
      <c r="R52" s="44">
        <f t="shared" si="22"/>
        <v>0</v>
      </c>
      <c r="S52" s="45">
        <f t="shared" si="23"/>
        <v>4059</v>
      </c>
      <c r="T52" s="46">
        <f t="shared" si="24"/>
        <v>0</v>
      </c>
      <c r="U52" s="52">
        <v>97.4</v>
      </c>
      <c r="V52" s="44">
        <f t="shared" si="18"/>
        <v>0</v>
      </c>
      <c r="W52" s="47">
        <f t="shared" si="19"/>
        <v>15.198201733937831</v>
      </c>
      <c r="X52" s="47">
        <f t="shared" si="27"/>
        <v>0.13780000000000003</v>
      </c>
      <c r="Y52" s="53">
        <f t="shared" si="28"/>
        <v>2.5999999999999999E-2</v>
      </c>
      <c r="Z52" s="47">
        <f t="shared" si="29"/>
        <v>0.13133080860215057</v>
      </c>
      <c r="AA52" s="47">
        <f t="shared" si="20"/>
        <v>15.329532542539981</v>
      </c>
      <c r="AC52" s="51">
        <f t="shared" si="25"/>
        <v>0</v>
      </c>
    </row>
    <row r="53" spans="1:33" ht="20.25" customHeight="1" x14ac:dyDescent="0.2">
      <c r="A53" s="20">
        <f t="shared" si="8"/>
        <v>48</v>
      </c>
      <c r="B53" s="9"/>
      <c r="C53" s="10"/>
      <c r="D53" s="11"/>
      <c r="E53" s="12"/>
      <c r="F53" s="21"/>
      <c r="G53" s="14"/>
      <c r="H53" s="22"/>
      <c r="I53" s="62"/>
      <c r="J53" s="16">
        <v>1</v>
      </c>
      <c r="K53" s="16">
        <v>1</v>
      </c>
      <c r="L53" s="17">
        <v>0</v>
      </c>
      <c r="M53" s="12">
        <v>6</v>
      </c>
      <c r="N53" s="23"/>
      <c r="O53" s="24"/>
      <c r="P53" s="44">
        <f t="shared" si="26"/>
        <v>0</v>
      </c>
      <c r="Q53" s="47">
        <f t="shared" si="17"/>
        <v>-1009769.6500000001</v>
      </c>
      <c r="R53" s="44">
        <f t="shared" si="22"/>
        <v>0</v>
      </c>
      <c r="S53" s="45">
        <f t="shared" si="23"/>
        <v>4059</v>
      </c>
      <c r="T53" s="46">
        <f t="shared" si="24"/>
        <v>0</v>
      </c>
      <c r="U53" s="52">
        <v>97.4</v>
      </c>
      <c r="V53" s="44">
        <f t="shared" si="18"/>
        <v>0</v>
      </c>
      <c r="W53" s="47">
        <f t="shared" si="19"/>
        <v>15.198201733937831</v>
      </c>
      <c r="X53" s="47">
        <f t="shared" si="27"/>
        <v>0.13780000000000003</v>
      </c>
      <c r="Y53" s="53">
        <f t="shared" si="28"/>
        <v>2.5999999999999999E-2</v>
      </c>
      <c r="Z53" s="47">
        <f t="shared" si="29"/>
        <v>0.13133080860215057</v>
      </c>
      <c r="AA53" s="47">
        <f t="shared" si="20"/>
        <v>15.329532542539981</v>
      </c>
      <c r="AC53" s="51">
        <f t="shared" si="25"/>
        <v>0</v>
      </c>
    </row>
    <row r="54" spans="1:33" ht="20.25" customHeight="1" x14ac:dyDescent="0.2">
      <c r="A54" s="20">
        <f t="shared" si="8"/>
        <v>49</v>
      </c>
      <c r="B54" s="9"/>
      <c r="C54" s="10"/>
      <c r="D54" s="11"/>
      <c r="E54" s="12"/>
      <c r="F54" s="21"/>
      <c r="G54" s="14"/>
      <c r="H54" s="22"/>
      <c r="I54" s="62"/>
      <c r="J54" s="16">
        <v>1</v>
      </c>
      <c r="K54" s="16">
        <v>1</v>
      </c>
      <c r="L54" s="17">
        <v>0</v>
      </c>
      <c r="M54" s="12">
        <v>6</v>
      </c>
      <c r="N54" s="23"/>
      <c r="O54" s="24"/>
      <c r="P54" s="44">
        <f t="shared" si="26"/>
        <v>0</v>
      </c>
      <c r="Q54" s="47">
        <f t="shared" si="17"/>
        <v>-1009769.6500000001</v>
      </c>
      <c r="R54" s="44">
        <f t="shared" si="22"/>
        <v>0</v>
      </c>
      <c r="S54" s="45">
        <f t="shared" si="23"/>
        <v>4059</v>
      </c>
      <c r="T54" s="46">
        <f t="shared" si="24"/>
        <v>0</v>
      </c>
      <c r="U54" s="52">
        <v>97.4</v>
      </c>
      <c r="V54" s="44">
        <f t="shared" si="18"/>
        <v>0</v>
      </c>
      <c r="W54" s="47">
        <f t="shared" si="19"/>
        <v>15.198201733937831</v>
      </c>
      <c r="X54" s="47">
        <f t="shared" si="27"/>
        <v>0.13780000000000003</v>
      </c>
      <c r="Y54" s="53">
        <f t="shared" si="28"/>
        <v>2.5999999999999999E-2</v>
      </c>
      <c r="Z54" s="47">
        <f t="shared" si="29"/>
        <v>0.13133080860215057</v>
      </c>
      <c r="AA54" s="47">
        <f t="shared" si="20"/>
        <v>15.329532542539981</v>
      </c>
      <c r="AC54" s="51">
        <f t="shared" si="25"/>
        <v>0</v>
      </c>
    </row>
    <row r="55" spans="1:33" ht="20.25" customHeight="1" x14ac:dyDescent="0.2">
      <c r="A55" s="20">
        <f t="shared" si="8"/>
        <v>50</v>
      </c>
      <c r="B55" s="9"/>
      <c r="C55" s="10"/>
      <c r="D55" s="11"/>
      <c r="E55" s="12"/>
      <c r="F55" s="21"/>
      <c r="G55" s="14"/>
      <c r="H55" s="22"/>
      <c r="I55" s="62"/>
      <c r="J55" s="16">
        <v>1</v>
      </c>
      <c r="K55" s="16">
        <v>1</v>
      </c>
      <c r="L55" s="17">
        <v>0</v>
      </c>
      <c r="M55" s="12">
        <v>6</v>
      </c>
      <c r="N55" s="23"/>
      <c r="O55" s="24"/>
      <c r="P55" s="44">
        <f t="shared" si="26"/>
        <v>0</v>
      </c>
      <c r="Q55" s="47">
        <f t="shared" si="17"/>
        <v>-1009769.6500000001</v>
      </c>
      <c r="R55" s="44">
        <f t="shared" si="22"/>
        <v>0</v>
      </c>
      <c r="S55" s="45">
        <f t="shared" si="23"/>
        <v>4059</v>
      </c>
      <c r="T55" s="46">
        <f t="shared" si="24"/>
        <v>0</v>
      </c>
      <c r="U55" s="52">
        <v>97.4</v>
      </c>
      <c r="V55" s="44">
        <f t="shared" si="18"/>
        <v>0</v>
      </c>
      <c r="W55" s="47">
        <f t="shared" si="19"/>
        <v>15.198201733937831</v>
      </c>
      <c r="X55" s="47">
        <f t="shared" si="27"/>
        <v>0.13780000000000003</v>
      </c>
      <c r="Y55" s="53">
        <f t="shared" si="28"/>
        <v>2.5999999999999999E-2</v>
      </c>
      <c r="Z55" s="47">
        <f t="shared" si="29"/>
        <v>0.13133080860215057</v>
      </c>
      <c r="AA55" s="47">
        <f t="shared" si="20"/>
        <v>15.329532542539981</v>
      </c>
      <c r="AC55" s="51">
        <f t="shared" si="25"/>
        <v>0</v>
      </c>
    </row>
    <row r="56" spans="1:33" ht="20.25" customHeight="1" x14ac:dyDescent="0.2">
      <c r="A56" s="20">
        <f t="shared" si="8"/>
        <v>51</v>
      </c>
      <c r="B56" s="9"/>
      <c r="C56" s="10"/>
      <c r="D56" s="11"/>
      <c r="E56" s="12"/>
      <c r="F56" s="21"/>
      <c r="G56" s="14"/>
      <c r="H56" s="22"/>
      <c r="I56" s="62"/>
      <c r="J56" s="16">
        <v>1</v>
      </c>
      <c r="K56" s="16">
        <v>1</v>
      </c>
      <c r="L56" s="17">
        <v>0</v>
      </c>
      <c r="M56" s="12">
        <v>6</v>
      </c>
      <c r="N56" s="23"/>
      <c r="O56" s="24"/>
      <c r="P56" s="44">
        <f t="shared" si="26"/>
        <v>0</v>
      </c>
      <c r="Q56" s="47">
        <f t="shared" si="17"/>
        <v>-1009769.6500000001</v>
      </c>
      <c r="R56" s="44">
        <f t="shared" si="22"/>
        <v>0</v>
      </c>
      <c r="S56" s="45">
        <f t="shared" si="23"/>
        <v>4059</v>
      </c>
      <c r="T56" s="46">
        <f t="shared" si="24"/>
        <v>0</v>
      </c>
      <c r="U56" s="52">
        <v>97.4</v>
      </c>
      <c r="V56" s="44">
        <f t="shared" si="18"/>
        <v>0</v>
      </c>
      <c r="W56" s="47">
        <f t="shared" si="19"/>
        <v>15.198201733937831</v>
      </c>
      <c r="X56" s="47">
        <f t="shared" si="27"/>
        <v>0.13780000000000003</v>
      </c>
      <c r="Y56" s="53">
        <f t="shared" si="28"/>
        <v>2.5999999999999999E-2</v>
      </c>
      <c r="Z56" s="47">
        <f t="shared" si="29"/>
        <v>0.13133080860215057</v>
      </c>
      <c r="AA56" s="47">
        <f t="shared" si="20"/>
        <v>15.329532542539981</v>
      </c>
      <c r="AC56" s="51">
        <f t="shared" si="25"/>
        <v>0</v>
      </c>
    </row>
    <row r="57" spans="1:33" ht="20.25" customHeight="1" x14ac:dyDescent="0.2">
      <c r="A57" s="20">
        <f t="shared" si="8"/>
        <v>52</v>
      </c>
      <c r="B57" s="9"/>
      <c r="C57" s="10"/>
      <c r="D57" s="11"/>
      <c r="E57" s="12"/>
      <c r="F57" s="21"/>
      <c r="G57" s="14"/>
      <c r="H57" s="22"/>
      <c r="I57" s="62"/>
      <c r="J57" s="16">
        <v>1</v>
      </c>
      <c r="K57" s="16">
        <v>1</v>
      </c>
      <c r="L57" s="17">
        <v>0</v>
      </c>
      <c r="M57" s="12">
        <v>6</v>
      </c>
      <c r="N57" s="23"/>
      <c r="O57" s="24"/>
      <c r="P57" s="44">
        <f t="shared" si="26"/>
        <v>0</v>
      </c>
      <c r="Q57" s="47">
        <f t="shared" si="17"/>
        <v>-1009769.6500000001</v>
      </c>
      <c r="R57" s="44">
        <f t="shared" si="22"/>
        <v>0</v>
      </c>
      <c r="S57" s="45">
        <f t="shared" si="23"/>
        <v>4059</v>
      </c>
      <c r="T57" s="46">
        <f t="shared" si="24"/>
        <v>0</v>
      </c>
      <c r="U57" s="52">
        <v>97.4</v>
      </c>
      <c r="V57" s="44">
        <f t="shared" si="18"/>
        <v>0</v>
      </c>
      <c r="W57" s="47">
        <f t="shared" si="19"/>
        <v>15.198201733937831</v>
      </c>
      <c r="X57" s="47">
        <f t="shared" si="27"/>
        <v>0.13780000000000003</v>
      </c>
      <c r="Y57" s="53">
        <f t="shared" si="28"/>
        <v>2.5999999999999999E-2</v>
      </c>
      <c r="Z57" s="47">
        <f t="shared" si="29"/>
        <v>0.13133080860215057</v>
      </c>
      <c r="AA57" s="47">
        <f t="shared" si="20"/>
        <v>15.329532542539981</v>
      </c>
      <c r="AC57" s="51">
        <f t="shared" si="25"/>
        <v>0</v>
      </c>
    </row>
    <row r="58" spans="1:33" ht="20.25" customHeight="1" x14ac:dyDescent="0.2">
      <c r="A58" s="20">
        <f t="shared" si="8"/>
        <v>53</v>
      </c>
      <c r="B58" s="9"/>
      <c r="C58" s="10"/>
      <c r="D58" s="11"/>
      <c r="E58" s="12"/>
      <c r="F58" s="21"/>
      <c r="G58" s="14"/>
      <c r="H58" s="22"/>
      <c r="I58" s="62"/>
      <c r="J58" s="16">
        <v>1</v>
      </c>
      <c r="K58" s="16">
        <v>1</v>
      </c>
      <c r="L58" s="17">
        <v>0</v>
      </c>
      <c r="M58" s="12">
        <v>6</v>
      </c>
      <c r="N58" s="23"/>
      <c r="O58" s="24"/>
      <c r="P58" s="44">
        <f t="shared" si="26"/>
        <v>0</v>
      </c>
      <c r="Q58" s="47">
        <f t="shared" si="17"/>
        <v>-1009769.6500000001</v>
      </c>
      <c r="R58" s="44">
        <f t="shared" si="22"/>
        <v>0</v>
      </c>
      <c r="S58" s="45">
        <f t="shared" si="23"/>
        <v>4059</v>
      </c>
      <c r="T58" s="46">
        <f t="shared" si="24"/>
        <v>0</v>
      </c>
      <c r="U58" s="52">
        <v>97.4</v>
      </c>
      <c r="V58" s="44">
        <f t="shared" si="18"/>
        <v>0</v>
      </c>
      <c r="W58" s="47">
        <f t="shared" si="19"/>
        <v>15.198201733937831</v>
      </c>
      <c r="X58" s="47">
        <f t="shared" si="27"/>
        <v>0.13780000000000003</v>
      </c>
      <c r="Y58" s="53">
        <f t="shared" si="28"/>
        <v>2.5999999999999999E-2</v>
      </c>
      <c r="Z58" s="47">
        <f t="shared" si="29"/>
        <v>0.13133080860215057</v>
      </c>
      <c r="AA58" s="47">
        <f t="shared" si="20"/>
        <v>15.329532542539981</v>
      </c>
      <c r="AC58" s="51">
        <f t="shared" si="25"/>
        <v>0</v>
      </c>
    </row>
    <row r="59" spans="1:33" ht="20.25" customHeight="1" x14ac:dyDescent="0.2">
      <c r="A59" s="20">
        <f t="shared" si="8"/>
        <v>54</v>
      </c>
      <c r="B59" s="9"/>
      <c r="C59" s="10"/>
      <c r="D59" s="11"/>
      <c r="E59" s="12"/>
      <c r="F59" s="21"/>
      <c r="G59" s="14"/>
      <c r="H59" s="22"/>
      <c r="I59" s="62"/>
      <c r="J59" s="16">
        <v>1</v>
      </c>
      <c r="K59" s="16">
        <v>1</v>
      </c>
      <c r="L59" s="17">
        <v>0</v>
      </c>
      <c r="M59" s="12">
        <v>6</v>
      </c>
      <c r="N59" s="23"/>
      <c r="O59" s="24"/>
      <c r="P59" s="44">
        <f t="shared" si="26"/>
        <v>0</v>
      </c>
      <c r="Q59" s="47">
        <f t="shared" si="17"/>
        <v>-1009769.6500000001</v>
      </c>
      <c r="R59" s="44">
        <f t="shared" si="22"/>
        <v>0</v>
      </c>
      <c r="S59" s="45">
        <f t="shared" si="23"/>
        <v>4059</v>
      </c>
      <c r="T59" s="46">
        <f t="shared" si="24"/>
        <v>0</v>
      </c>
      <c r="U59" s="52">
        <v>97.4</v>
      </c>
      <c r="V59" s="44">
        <f t="shared" si="18"/>
        <v>0</v>
      </c>
      <c r="W59" s="47">
        <f t="shared" si="19"/>
        <v>15.198201733937831</v>
      </c>
      <c r="X59" s="47">
        <f t="shared" si="27"/>
        <v>0.13780000000000003</v>
      </c>
      <c r="Y59" s="53">
        <f t="shared" si="28"/>
        <v>2.5999999999999999E-2</v>
      </c>
      <c r="Z59" s="47">
        <f t="shared" si="29"/>
        <v>0.13133080860215057</v>
      </c>
      <c r="AA59" s="47">
        <f t="shared" si="20"/>
        <v>15.329532542539981</v>
      </c>
      <c r="AC59" s="51">
        <f t="shared" si="25"/>
        <v>0</v>
      </c>
    </row>
    <row r="60" spans="1:33" ht="20.25" customHeight="1" x14ac:dyDescent="0.2">
      <c r="A60" s="20">
        <f t="shared" si="8"/>
        <v>55</v>
      </c>
      <c r="B60" s="9"/>
      <c r="C60" s="10"/>
      <c r="D60" s="11"/>
      <c r="E60" s="12"/>
      <c r="F60" s="21"/>
      <c r="G60" s="14"/>
      <c r="H60" s="22"/>
      <c r="I60" s="62"/>
      <c r="J60" s="16">
        <v>1</v>
      </c>
      <c r="K60" s="16">
        <v>1</v>
      </c>
      <c r="L60" s="17">
        <v>0</v>
      </c>
      <c r="M60" s="12">
        <v>6</v>
      </c>
      <c r="N60" s="23"/>
      <c r="O60" s="24"/>
      <c r="P60" s="44">
        <f t="shared" si="26"/>
        <v>0</v>
      </c>
      <c r="Q60" s="47">
        <f t="shared" si="17"/>
        <v>-1009769.6500000001</v>
      </c>
      <c r="R60" s="44">
        <f t="shared" si="22"/>
        <v>0</v>
      </c>
      <c r="S60" s="45">
        <f t="shared" si="23"/>
        <v>4059</v>
      </c>
      <c r="T60" s="46">
        <f t="shared" si="24"/>
        <v>0</v>
      </c>
      <c r="U60" s="52">
        <v>97.4</v>
      </c>
      <c r="V60" s="44">
        <f t="shared" si="18"/>
        <v>0</v>
      </c>
      <c r="W60" s="47">
        <f t="shared" si="19"/>
        <v>15.198201733937831</v>
      </c>
      <c r="X60" s="47">
        <f t="shared" si="27"/>
        <v>0.13780000000000003</v>
      </c>
      <c r="Y60" s="53">
        <f t="shared" si="28"/>
        <v>2.5999999999999999E-2</v>
      </c>
      <c r="Z60" s="47">
        <f t="shared" si="29"/>
        <v>0.13133080860215057</v>
      </c>
      <c r="AA60" s="47">
        <f t="shared" si="20"/>
        <v>15.329532542539981</v>
      </c>
      <c r="AC60" s="51">
        <f t="shared" si="25"/>
        <v>0</v>
      </c>
    </row>
    <row r="61" spans="1:33" ht="20.25" customHeight="1" x14ac:dyDescent="0.2">
      <c r="A61" s="20">
        <f t="shared" si="8"/>
        <v>56</v>
      </c>
      <c r="B61" s="9"/>
      <c r="C61" s="10"/>
      <c r="D61" s="11"/>
      <c r="E61" s="12"/>
      <c r="F61" s="21"/>
      <c r="G61" s="14"/>
      <c r="H61" s="22"/>
      <c r="I61" s="62"/>
      <c r="J61" s="16">
        <v>1</v>
      </c>
      <c r="K61" s="16">
        <v>1</v>
      </c>
      <c r="L61" s="17">
        <v>0</v>
      </c>
      <c r="M61" s="12">
        <v>6</v>
      </c>
      <c r="N61" s="23"/>
      <c r="O61" s="24"/>
      <c r="P61" s="44">
        <f t="shared" si="26"/>
        <v>0</v>
      </c>
      <c r="Q61" s="47">
        <f t="shared" si="17"/>
        <v>-1009769.6500000001</v>
      </c>
      <c r="R61" s="44">
        <f t="shared" si="22"/>
        <v>0</v>
      </c>
      <c r="S61" s="45">
        <f t="shared" si="23"/>
        <v>4059</v>
      </c>
      <c r="T61" s="46">
        <f t="shared" si="24"/>
        <v>0</v>
      </c>
      <c r="U61" s="52">
        <v>97.4</v>
      </c>
      <c r="V61" s="44">
        <f t="shared" si="18"/>
        <v>0</v>
      </c>
      <c r="W61" s="47">
        <f t="shared" si="19"/>
        <v>15.198201733937831</v>
      </c>
      <c r="X61" s="47">
        <f t="shared" si="27"/>
        <v>0.13780000000000003</v>
      </c>
      <c r="Y61" s="53">
        <f t="shared" si="28"/>
        <v>2.5999999999999999E-2</v>
      </c>
      <c r="Z61" s="47">
        <f t="shared" si="29"/>
        <v>0.13133080860215057</v>
      </c>
      <c r="AA61" s="47">
        <f t="shared" si="20"/>
        <v>15.329532542539981</v>
      </c>
      <c r="AC61" s="51">
        <f t="shared" si="25"/>
        <v>0</v>
      </c>
    </row>
    <row r="62" spans="1:33" ht="20.25" customHeight="1" x14ac:dyDescent="0.2">
      <c r="A62" s="20">
        <f t="shared" si="8"/>
        <v>57</v>
      </c>
      <c r="B62" s="9"/>
      <c r="C62" s="10"/>
      <c r="D62" s="11"/>
      <c r="E62" s="12"/>
      <c r="F62" s="21"/>
      <c r="G62" s="14"/>
      <c r="H62" s="22"/>
      <c r="I62" s="62"/>
      <c r="J62" s="16">
        <v>1</v>
      </c>
      <c r="K62" s="16">
        <v>1</v>
      </c>
      <c r="L62" s="17">
        <v>0</v>
      </c>
      <c r="M62" s="12">
        <v>6</v>
      </c>
      <c r="N62" s="23"/>
      <c r="O62" s="24"/>
      <c r="P62" s="44">
        <f t="shared" si="26"/>
        <v>0</v>
      </c>
      <c r="Q62" s="47">
        <f t="shared" si="17"/>
        <v>-1009769.6500000001</v>
      </c>
      <c r="R62" s="44">
        <f t="shared" si="22"/>
        <v>0</v>
      </c>
      <c r="S62" s="45">
        <f t="shared" si="23"/>
        <v>4059</v>
      </c>
      <c r="T62" s="46">
        <f t="shared" si="24"/>
        <v>0</v>
      </c>
      <c r="U62" s="52">
        <v>97.4</v>
      </c>
      <c r="V62" s="44">
        <f t="shared" si="18"/>
        <v>0</v>
      </c>
      <c r="W62" s="47">
        <f t="shared" si="19"/>
        <v>15.198201733937831</v>
      </c>
      <c r="X62" s="47">
        <f t="shared" si="27"/>
        <v>0.13780000000000003</v>
      </c>
      <c r="Y62" s="53">
        <f t="shared" si="28"/>
        <v>2.5999999999999999E-2</v>
      </c>
      <c r="Z62" s="47">
        <f t="shared" si="29"/>
        <v>0.13133080860215057</v>
      </c>
      <c r="AA62" s="47">
        <f t="shared" si="20"/>
        <v>15.329532542539981</v>
      </c>
      <c r="AC62" s="51">
        <f t="shared" si="25"/>
        <v>0</v>
      </c>
    </row>
    <row r="63" spans="1:33" ht="20.25" customHeight="1" x14ac:dyDescent="0.2">
      <c r="A63" s="20">
        <f t="shared" si="8"/>
        <v>58</v>
      </c>
      <c r="B63" s="9"/>
      <c r="C63" s="10"/>
      <c r="D63" s="11"/>
      <c r="E63" s="12"/>
      <c r="F63" s="21"/>
      <c r="G63" s="14"/>
      <c r="H63" s="22"/>
      <c r="I63" s="62"/>
      <c r="J63" s="16">
        <v>1</v>
      </c>
      <c r="K63" s="16">
        <v>1</v>
      </c>
      <c r="L63" s="17">
        <v>0</v>
      </c>
      <c r="M63" s="12">
        <v>6</v>
      </c>
      <c r="N63" s="23"/>
      <c r="O63" s="24"/>
      <c r="P63" s="44">
        <f t="shared" si="26"/>
        <v>0</v>
      </c>
      <c r="Q63" s="47">
        <f t="shared" si="17"/>
        <v>-1009769.6500000001</v>
      </c>
      <c r="R63" s="44">
        <f t="shared" si="22"/>
        <v>0</v>
      </c>
      <c r="S63" s="45">
        <f t="shared" si="23"/>
        <v>4059</v>
      </c>
      <c r="T63" s="46">
        <f t="shared" si="24"/>
        <v>0</v>
      </c>
      <c r="U63" s="52">
        <v>97.4</v>
      </c>
      <c r="V63" s="44">
        <f t="shared" si="18"/>
        <v>0</v>
      </c>
      <c r="W63" s="47">
        <f t="shared" si="19"/>
        <v>15.198201733937831</v>
      </c>
      <c r="X63" s="47">
        <f t="shared" si="27"/>
        <v>0.13780000000000003</v>
      </c>
      <c r="Y63" s="53">
        <f t="shared" si="28"/>
        <v>2.5999999999999999E-2</v>
      </c>
      <c r="Z63" s="47">
        <f t="shared" si="29"/>
        <v>0.13133080860215057</v>
      </c>
      <c r="AA63" s="47">
        <f t="shared" si="20"/>
        <v>15.329532542539981</v>
      </c>
      <c r="AC63" s="51">
        <f t="shared" si="25"/>
        <v>0</v>
      </c>
      <c r="AE63">
        <v>10909.796518434017</v>
      </c>
      <c r="AF63">
        <f>AE63*F63</f>
        <v>0</v>
      </c>
      <c r="AG63">
        <f>F63</f>
        <v>0</v>
      </c>
    </row>
    <row r="64" spans="1:33" ht="20.25" customHeight="1" x14ac:dyDescent="0.2">
      <c r="A64" s="20">
        <f t="shared" si="8"/>
        <v>59</v>
      </c>
      <c r="B64" s="9"/>
      <c r="C64" s="10"/>
      <c r="D64" s="11"/>
      <c r="E64" s="12"/>
      <c r="F64" s="21"/>
      <c r="G64" s="14"/>
      <c r="H64" s="22"/>
      <c r="I64" s="62"/>
      <c r="J64" s="16">
        <v>1</v>
      </c>
      <c r="K64" s="16">
        <v>1</v>
      </c>
      <c r="L64" s="17">
        <v>0</v>
      </c>
      <c r="M64" s="12">
        <v>6</v>
      </c>
      <c r="N64" s="23"/>
      <c r="O64" s="24"/>
      <c r="P64" s="44">
        <f t="shared" si="26"/>
        <v>0</v>
      </c>
      <c r="Q64" s="47">
        <f t="shared" si="17"/>
        <v>-1009769.6500000001</v>
      </c>
      <c r="R64" s="44">
        <f t="shared" si="22"/>
        <v>0</v>
      </c>
      <c r="S64" s="45">
        <f t="shared" si="23"/>
        <v>4059</v>
      </c>
      <c r="T64" s="46">
        <f t="shared" si="24"/>
        <v>0</v>
      </c>
      <c r="U64" s="52">
        <v>97.4</v>
      </c>
      <c r="V64" s="44">
        <f t="shared" si="18"/>
        <v>0</v>
      </c>
      <c r="W64" s="47">
        <f t="shared" si="19"/>
        <v>15.198201733937831</v>
      </c>
      <c r="X64" s="47">
        <f t="shared" si="27"/>
        <v>0.13780000000000003</v>
      </c>
      <c r="Y64" s="53">
        <f t="shared" si="28"/>
        <v>2.5999999999999999E-2</v>
      </c>
      <c r="Z64" s="47">
        <f t="shared" si="29"/>
        <v>0.13133080860215057</v>
      </c>
      <c r="AA64" s="47">
        <f t="shared" si="20"/>
        <v>15.329532542539981</v>
      </c>
      <c r="AC64" s="51">
        <f t="shared" si="25"/>
        <v>0</v>
      </c>
    </row>
    <row r="65" spans="1:33" ht="20.25" customHeight="1" x14ac:dyDescent="0.2">
      <c r="A65" s="20">
        <f t="shared" si="8"/>
        <v>60</v>
      </c>
      <c r="B65" s="9"/>
      <c r="C65" s="10"/>
      <c r="D65" s="11"/>
      <c r="E65" s="12"/>
      <c r="F65" s="21"/>
      <c r="G65" s="14"/>
      <c r="H65" s="22"/>
      <c r="I65" s="62"/>
      <c r="J65" s="16">
        <v>1</v>
      </c>
      <c r="K65" s="16">
        <v>1</v>
      </c>
      <c r="L65" s="17">
        <v>0</v>
      </c>
      <c r="M65" s="12">
        <v>6</v>
      </c>
      <c r="N65" s="23"/>
      <c r="O65" s="24"/>
      <c r="P65" s="44">
        <f t="shared" si="26"/>
        <v>0</v>
      </c>
      <c r="Q65" s="47">
        <f t="shared" si="17"/>
        <v>-1009769.6500000001</v>
      </c>
      <c r="R65" s="44">
        <f t="shared" si="22"/>
        <v>0</v>
      </c>
      <c r="S65" s="45">
        <f t="shared" si="23"/>
        <v>4059</v>
      </c>
      <c r="T65" s="46">
        <f t="shared" si="24"/>
        <v>0</v>
      </c>
      <c r="U65" s="52">
        <v>97.4</v>
      </c>
      <c r="V65" s="44">
        <f t="shared" si="18"/>
        <v>0</v>
      </c>
      <c r="W65" s="47">
        <f t="shared" si="19"/>
        <v>15.198201733937831</v>
      </c>
      <c r="X65" s="47">
        <f t="shared" si="27"/>
        <v>0.13780000000000003</v>
      </c>
      <c r="Y65" s="53">
        <f t="shared" si="28"/>
        <v>2.5999999999999999E-2</v>
      </c>
      <c r="Z65" s="47">
        <f t="shared" si="29"/>
        <v>0.13133080860215057</v>
      </c>
      <c r="AA65" s="47">
        <f t="shared" si="20"/>
        <v>15.329532542539981</v>
      </c>
      <c r="AC65" s="51">
        <f t="shared" si="25"/>
        <v>0</v>
      </c>
    </row>
    <row r="66" spans="1:33" ht="20.25" customHeight="1" x14ac:dyDescent="0.2">
      <c r="A66" s="20">
        <f t="shared" si="8"/>
        <v>61</v>
      </c>
      <c r="B66" s="9"/>
      <c r="C66" s="10"/>
      <c r="D66" s="11"/>
      <c r="E66" s="12"/>
      <c r="F66" s="21"/>
      <c r="G66" s="14"/>
      <c r="H66" s="22"/>
      <c r="I66" s="62"/>
      <c r="J66" s="16">
        <v>1</v>
      </c>
      <c r="K66" s="16">
        <v>1</v>
      </c>
      <c r="L66" s="17">
        <v>0</v>
      </c>
      <c r="M66" s="12">
        <v>6</v>
      </c>
      <c r="N66" s="23"/>
      <c r="O66" s="24"/>
      <c r="P66" s="44">
        <f t="shared" si="26"/>
        <v>0</v>
      </c>
      <c r="Q66" s="47">
        <f t="shared" si="17"/>
        <v>-1009769.6500000001</v>
      </c>
      <c r="R66" s="44">
        <f t="shared" si="22"/>
        <v>0</v>
      </c>
      <c r="S66" s="45">
        <f t="shared" si="23"/>
        <v>4059</v>
      </c>
      <c r="T66" s="46">
        <f t="shared" si="24"/>
        <v>0</v>
      </c>
      <c r="U66" s="52">
        <v>97.4</v>
      </c>
      <c r="V66" s="44">
        <f t="shared" si="18"/>
        <v>0</v>
      </c>
      <c r="W66" s="47">
        <f t="shared" si="19"/>
        <v>15.198201733937831</v>
      </c>
      <c r="X66" s="47">
        <f t="shared" si="27"/>
        <v>0.13780000000000003</v>
      </c>
      <c r="Y66" s="53">
        <f t="shared" si="28"/>
        <v>2.5999999999999999E-2</v>
      </c>
      <c r="Z66" s="47">
        <f t="shared" si="29"/>
        <v>0.13133080860215057</v>
      </c>
      <c r="AA66" s="47">
        <f t="shared" si="20"/>
        <v>15.329532542539981</v>
      </c>
      <c r="AC66" s="51">
        <f t="shared" si="25"/>
        <v>0</v>
      </c>
    </row>
    <row r="67" spans="1:33" ht="20.25" customHeight="1" x14ac:dyDescent="0.2">
      <c r="A67" s="20">
        <f t="shared" si="8"/>
        <v>62</v>
      </c>
      <c r="B67" s="9"/>
      <c r="C67" s="10"/>
      <c r="D67" s="11"/>
      <c r="E67" s="12"/>
      <c r="F67" s="21"/>
      <c r="G67" s="14"/>
      <c r="H67" s="22"/>
      <c r="I67" s="62"/>
      <c r="J67" s="16">
        <v>1</v>
      </c>
      <c r="K67" s="16">
        <v>1</v>
      </c>
      <c r="L67" s="17">
        <v>0</v>
      </c>
      <c r="M67" s="12">
        <v>6</v>
      </c>
      <c r="N67" s="23"/>
      <c r="O67" s="24"/>
      <c r="P67" s="44">
        <f t="shared" si="26"/>
        <v>0</v>
      </c>
      <c r="Q67" s="47">
        <f t="shared" si="17"/>
        <v>-1009769.6500000001</v>
      </c>
      <c r="R67" s="44">
        <f t="shared" si="22"/>
        <v>0</v>
      </c>
      <c r="S67" s="45">
        <f t="shared" si="23"/>
        <v>4059</v>
      </c>
      <c r="T67" s="46">
        <f t="shared" si="24"/>
        <v>0</v>
      </c>
      <c r="U67" s="52">
        <v>97.4</v>
      </c>
      <c r="V67" s="44">
        <f t="shared" si="18"/>
        <v>0</v>
      </c>
      <c r="W67" s="47">
        <f t="shared" si="19"/>
        <v>15.198201733937831</v>
      </c>
      <c r="X67" s="47">
        <f t="shared" si="27"/>
        <v>0.13780000000000003</v>
      </c>
      <c r="Y67" s="53">
        <f t="shared" si="28"/>
        <v>2.5999999999999999E-2</v>
      </c>
      <c r="Z67" s="47">
        <f t="shared" si="29"/>
        <v>0.13133080860215057</v>
      </c>
      <c r="AA67" s="47">
        <f t="shared" si="20"/>
        <v>15.329532542539981</v>
      </c>
      <c r="AC67" s="51">
        <f t="shared" si="25"/>
        <v>0</v>
      </c>
      <c r="AE67">
        <v>10767.068995859552</v>
      </c>
      <c r="AF67">
        <f>AE67*F67</f>
        <v>0</v>
      </c>
      <c r="AG67">
        <f>F67</f>
        <v>0</v>
      </c>
    </row>
    <row r="68" spans="1:33" ht="20.25" customHeight="1" x14ac:dyDescent="0.2">
      <c r="A68" s="20">
        <f t="shared" si="8"/>
        <v>63</v>
      </c>
      <c r="B68" s="9"/>
      <c r="C68" s="10"/>
      <c r="D68" s="11"/>
      <c r="E68" s="12"/>
      <c r="F68" s="21"/>
      <c r="G68" s="14"/>
      <c r="H68" s="22"/>
      <c r="I68" s="62"/>
      <c r="J68" s="16">
        <v>1</v>
      </c>
      <c r="K68" s="16">
        <v>1</v>
      </c>
      <c r="L68" s="17">
        <v>0</v>
      </c>
      <c r="M68" s="12">
        <v>6</v>
      </c>
      <c r="N68" s="23"/>
      <c r="O68" s="24"/>
      <c r="P68" s="44">
        <f t="shared" si="26"/>
        <v>0</v>
      </c>
      <c r="Q68" s="47">
        <f t="shared" si="17"/>
        <v>-1009769.6500000001</v>
      </c>
      <c r="R68" s="44">
        <f t="shared" si="22"/>
        <v>0</v>
      </c>
      <c r="S68" s="45">
        <f t="shared" si="23"/>
        <v>4059</v>
      </c>
      <c r="T68" s="46">
        <f t="shared" si="24"/>
        <v>0</v>
      </c>
      <c r="U68" s="52">
        <v>97.4</v>
      </c>
      <c r="V68" s="44">
        <f t="shared" si="18"/>
        <v>0</v>
      </c>
      <c r="W68" s="47">
        <f t="shared" si="19"/>
        <v>15.198201733937831</v>
      </c>
      <c r="X68" s="47">
        <f t="shared" si="27"/>
        <v>0.13780000000000003</v>
      </c>
      <c r="Y68" s="53">
        <f t="shared" si="28"/>
        <v>2.5999999999999999E-2</v>
      </c>
      <c r="Z68" s="47">
        <f t="shared" si="29"/>
        <v>0.13133080860215057</v>
      </c>
      <c r="AA68" s="47">
        <f t="shared" si="20"/>
        <v>15.329532542539981</v>
      </c>
      <c r="AC68" s="51">
        <f t="shared" si="25"/>
        <v>0</v>
      </c>
    </row>
    <row r="69" spans="1:33" ht="20.25" customHeight="1" x14ac:dyDescent="0.2">
      <c r="A69" s="20">
        <f t="shared" si="8"/>
        <v>64</v>
      </c>
      <c r="B69" s="9"/>
      <c r="C69" s="10"/>
      <c r="D69" s="11"/>
      <c r="E69" s="12"/>
      <c r="F69" s="21"/>
      <c r="G69" s="14"/>
      <c r="H69" s="22"/>
      <c r="I69" s="62"/>
      <c r="J69" s="16">
        <v>1</v>
      </c>
      <c r="K69" s="16">
        <v>1</v>
      </c>
      <c r="L69" s="17">
        <v>0</v>
      </c>
      <c r="M69" s="12">
        <v>6</v>
      </c>
      <c r="N69" s="23"/>
      <c r="O69" s="24"/>
      <c r="P69" s="44">
        <f t="shared" si="26"/>
        <v>0</v>
      </c>
      <c r="Q69" s="47">
        <f t="shared" si="17"/>
        <v>-1009769.6500000001</v>
      </c>
      <c r="R69" s="44">
        <f t="shared" si="22"/>
        <v>0</v>
      </c>
      <c r="S69" s="45">
        <f t="shared" si="23"/>
        <v>4059</v>
      </c>
      <c r="T69" s="46">
        <f t="shared" si="24"/>
        <v>0</v>
      </c>
      <c r="U69" s="52">
        <v>97.4</v>
      </c>
      <c r="V69" s="44">
        <f t="shared" si="18"/>
        <v>0</v>
      </c>
      <c r="W69" s="47">
        <f t="shared" si="19"/>
        <v>15.198201733937831</v>
      </c>
      <c r="X69" s="47">
        <f t="shared" si="27"/>
        <v>0.13780000000000003</v>
      </c>
      <c r="Y69" s="53">
        <f t="shared" si="28"/>
        <v>2.5999999999999999E-2</v>
      </c>
      <c r="Z69" s="47">
        <f t="shared" si="29"/>
        <v>0.13133080860215057</v>
      </c>
      <c r="AA69" s="47">
        <f t="shared" si="20"/>
        <v>15.329532542539981</v>
      </c>
      <c r="AC69" s="51">
        <f t="shared" si="25"/>
        <v>0</v>
      </c>
      <c r="AE69">
        <v>10136.339871782975</v>
      </c>
      <c r="AF69">
        <f>AE69*F69</f>
        <v>0</v>
      </c>
      <c r="AG69">
        <f>F69</f>
        <v>0</v>
      </c>
    </row>
    <row r="70" spans="1:33" ht="20.25" customHeight="1" x14ac:dyDescent="0.2">
      <c r="A70" s="20">
        <f t="shared" si="8"/>
        <v>65</v>
      </c>
      <c r="B70" s="9"/>
      <c r="C70" s="10"/>
      <c r="D70" s="11"/>
      <c r="E70" s="12"/>
      <c r="F70" s="21"/>
      <c r="G70" s="14"/>
      <c r="H70" s="22"/>
      <c r="I70" s="62"/>
      <c r="J70" s="16">
        <v>1</v>
      </c>
      <c r="K70" s="16">
        <v>1</v>
      </c>
      <c r="L70" s="17">
        <v>0</v>
      </c>
      <c r="M70" s="12">
        <v>6</v>
      </c>
      <c r="N70" s="23"/>
      <c r="O70" s="24"/>
      <c r="P70" s="44">
        <f t="shared" si="26"/>
        <v>0</v>
      </c>
      <c r="Q70" s="47">
        <f t="shared" si="17"/>
        <v>-1009769.6500000001</v>
      </c>
      <c r="R70" s="44">
        <f t="shared" ref="R70:R96" si="30">F70*$F$2/1000*273/(273+M70)</f>
        <v>0</v>
      </c>
      <c r="S70" s="45">
        <f t="shared" ref="S70:S96" si="31">$O$2-L70</f>
        <v>4059</v>
      </c>
      <c r="T70" s="46">
        <f t="shared" ref="T70:T96" si="32">IF(J70=K70,0,S70*(K70-J70))*273/(273+M70)</f>
        <v>0</v>
      </c>
      <c r="U70" s="52">
        <v>97.4</v>
      </c>
      <c r="V70" s="44">
        <f t="shared" si="18"/>
        <v>0</v>
      </c>
      <c r="W70" s="47">
        <f t="shared" si="19"/>
        <v>15.198201733937831</v>
      </c>
      <c r="X70" s="47">
        <f t="shared" si="27"/>
        <v>0.13780000000000003</v>
      </c>
      <c r="Y70" s="53">
        <f t="shared" si="28"/>
        <v>2.5999999999999999E-2</v>
      </c>
      <c r="Z70" s="47">
        <f t="shared" si="29"/>
        <v>0.13133080860215057</v>
      </c>
      <c r="AA70" s="47">
        <f t="shared" si="20"/>
        <v>15.329532542539981</v>
      </c>
      <c r="AC70" s="51">
        <f t="shared" ref="AC70:AC96" si="33">E70/10</f>
        <v>0</v>
      </c>
    </row>
    <row r="71" spans="1:33" ht="20.25" customHeight="1" x14ac:dyDescent="0.2">
      <c r="A71" s="20">
        <f t="shared" si="8"/>
        <v>66</v>
      </c>
      <c r="B71" s="9"/>
      <c r="C71" s="10"/>
      <c r="D71" s="11"/>
      <c r="E71" s="12"/>
      <c r="F71" s="21"/>
      <c r="G71" s="14"/>
      <c r="H71" s="22"/>
      <c r="I71" s="62"/>
      <c r="J71" s="16">
        <v>1</v>
      </c>
      <c r="K71" s="16">
        <v>1</v>
      </c>
      <c r="L71" s="17">
        <v>0</v>
      </c>
      <c r="M71" s="12">
        <v>6</v>
      </c>
      <c r="N71" s="23"/>
      <c r="O71" s="24"/>
      <c r="P71" s="44">
        <f t="shared" ref="P71:P96" si="34">((B71 +C71) - (B70 + C70)) * 24 * 60</f>
        <v>0</v>
      </c>
      <c r="Q71" s="47">
        <f t="shared" si="17"/>
        <v>-1009769.6500000001</v>
      </c>
      <c r="R71" s="44">
        <f t="shared" si="30"/>
        <v>0</v>
      </c>
      <c r="S71" s="45">
        <f t="shared" si="31"/>
        <v>4059</v>
      </c>
      <c r="T71" s="46">
        <f t="shared" si="32"/>
        <v>0</v>
      </c>
      <c r="U71" s="52">
        <v>97.4</v>
      </c>
      <c r="V71" s="44">
        <f t="shared" si="18"/>
        <v>0</v>
      </c>
      <c r="W71" s="47">
        <f t="shared" si="19"/>
        <v>15.198201733937831</v>
      </c>
      <c r="X71" s="47">
        <f t="shared" ref="X71:X96" si="35">X70+(G71+L71)/1000</f>
        <v>0.13780000000000003</v>
      </c>
      <c r="Y71" s="53">
        <f t="shared" ref="Y71:Y96" si="36">0.026*EXP(-0.016*E71)</f>
        <v>2.5999999999999999E-2</v>
      </c>
      <c r="Z71" s="47">
        <f t="shared" ref="Z71:Z96" si="37">(X71-(Y71-Y70))*(E71+1)*1*273/(273+M71)*U71/100</f>
        <v>0.13133080860215057</v>
      </c>
      <c r="AA71" s="47">
        <f t="shared" si="20"/>
        <v>15.329532542539981</v>
      </c>
      <c r="AC71" s="51">
        <f t="shared" si="33"/>
        <v>0</v>
      </c>
      <c r="AE71">
        <v>10258.598862406445</v>
      </c>
      <c r="AF71">
        <f>AE71*F71</f>
        <v>0</v>
      </c>
      <c r="AG71">
        <f>F71</f>
        <v>0</v>
      </c>
    </row>
    <row r="72" spans="1:33" ht="20.25" customHeight="1" x14ac:dyDescent="0.2">
      <c r="A72" s="20">
        <f t="shared" ref="A72:A96" si="38">A71+1</f>
        <v>67</v>
      </c>
      <c r="B72" s="9"/>
      <c r="C72" s="10"/>
      <c r="D72" s="11"/>
      <c r="E72" s="12"/>
      <c r="F72" s="21"/>
      <c r="G72" s="14"/>
      <c r="H72" s="22"/>
      <c r="I72" s="62"/>
      <c r="J72" s="16">
        <v>1</v>
      </c>
      <c r="K72" s="16">
        <v>1</v>
      </c>
      <c r="L72" s="17">
        <v>0</v>
      </c>
      <c r="M72" s="12">
        <v>6</v>
      </c>
      <c r="N72" s="23"/>
      <c r="O72" s="24"/>
      <c r="P72" s="44">
        <f t="shared" si="34"/>
        <v>0</v>
      </c>
      <c r="Q72" s="47">
        <f t="shared" si="17"/>
        <v>-1009769.6500000001</v>
      </c>
      <c r="R72" s="44">
        <f t="shared" si="30"/>
        <v>0</v>
      </c>
      <c r="S72" s="45">
        <f t="shared" si="31"/>
        <v>4059</v>
      </c>
      <c r="T72" s="46">
        <f t="shared" si="32"/>
        <v>0</v>
      </c>
      <c r="U72" s="52">
        <v>97.4</v>
      </c>
      <c r="V72" s="44">
        <f t="shared" si="18"/>
        <v>0</v>
      </c>
      <c r="W72" s="47">
        <f t="shared" si="19"/>
        <v>15.198201733937831</v>
      </c>
      <c r="X72" s="47">
        <f t="shared" si="35"/>
        <v>0.13780000000000003</v>
      </c>
      <c r="Y72" s="53">
        <f t="shared" si="36"/>
        <v>2.5999999999999999E-2</v>
      </c>
      <c r="Z72" s="47">
        <f t="shared" si="37"/>
        <v>0.13133080860215057</v>
      </c>
      <c r="AA72" s="47">
        <f t="shared" si="20"/>
        <v>15.329532542539981</v>
      </c>
      <c r="AC72" s="51">
        <f t="shared" si="33"/>
        <v>0</v>
      </c>
    </row>
    <row r="73" spans="1:33" ht="20.25" customHeight="1" x14ac:dyDescent="0.2">
      <c r="A73" s="20">
        <f t="shared" si="38"/>
        <v>68</v>
      </c>
      <c r="B73" s="9"/>
      <c r="C73" s="10"/>
      <c r="D73" s="11"/>
      <c r="E73" s="12"/>
      <c r="F73" s="21"/>
      <c r="G73" s="14"/>
      <c r="H73" s="22"/>
      <c r="I73" s="62"/>
      <c r="J73" s="16">
        <v>1</v>
      </c>
      <c r="K73" s="16">
        <v>1</v>
      </c>
      <c r="L73" s="17">
        <v>0</v>
      </c>
      <c r="M73" s="12">
        <v>6</v>
      </c>
      <c r="N73" s="23"/>
      <c r="O73" s="24"/>
      <c r="P73" s="44">
        <f t="shared" si="34"/>
        <v>0</v>
      </c>
      <c r="Q73" s="47">
        <f t="shared" si="17"/>
        <v>-1009769.6500000001</v>
      </c>
      <c r="R73" s="44">
        <f t="shared" si="30"/>
        <v>0</v>
      </c>
      <c r="S73" s="45">
        <f t="shared" si="31"/>
        <v>4059</v>
      </c>
      <c r="T73" s="46">
        <f t="shared" si="32"/>
        <v>0</v>
      </c>
      <c r="U73" s="52">
        <v>97.4</v>
      </c>
      <c r="V73" s="44">
        <f t="shared" si="18"/>
        <v>0</v>
      </c>
      <c r="W73" s="47">
        <f t="shared" si="19"/>
        <v>15.198201733937831</v>
      </c>
      <c r="X73" s="47">
        <f t="shared" si="35"/>
        <v>0.13780000000000003</v>
      </c>
      <c r="Y73" s="53">
        <f t="shared" si="36"/>
        <v>2.5999999999999999E-2</v>
      </c>
      <c r="Z73" s="47">
        <f t="shared" si="37"/>
        <v>0.13133080860215057</v>
      </c>
      <c r="AA73" s="47">
        <f t="shared" si="20"/>
        <v>15.329532542539981</v>
      </c>
      <c r="AC73" s="51">
        <f t="shared" si="33"/>
        <v>0</v>
      </c>
    </row>
    <row r="74" spans="1:33" ht="20.25" customHeight="1" x14ac:dyDescent="0.2">
      <c r="A74" s="20">
        <f t="shared" si="38"/>
        <v>69</v>
      </c>
      <c r="B74" s="9"/>
      <c r="C74" s="10"/>
      <c r="D74" s="11"/>
      <c r="E74" s="12"/>
      <c r="F74" s="21"/>
      <c r="G74" s="14"/>
      <c r="H74" s="22"/>
      <c r="I74" s="62"/>
      <c r="J74" s="16">
        <v>1</v>
      </c>
      <c r="K74" s="16">
        <v>1</v>
      </c>
      <c r="L74" s="17">
        <v>0</v>
      </c>
      <c r="M74" s="12">
        <v>6</v>
      </c>
      <c r="N74" s="23"/>
      <c r="O74" s="24"/>
      <c r="P74" s="44">
        <f t="shared" si="34"/>
        <v>0</v>
      </c>
      <c r="Q74" s="47">
        <f t="shared" si="17"/>
        <v>-1009769.6500000001</v>
      </c>
      <c r="R74" s="44">
        <f t="shared" si="30"/>
        <v>0</v>
      </c>
      <c r="S74" s="45">
        <f t="shared" si="31"/>
        <v>4059</v>
      </c>
      <c r="T74" s="46">
        <f t="shared" si="32"/>
        <v>0</v>
      </c>
      <c r="U74" s="52">
        <v>97.4</v>
      </c>
      <c r="V74" s="44">
        <f t="shared" si="18"/>
        <v>0</v>
      </c>
      <c r="W74" s="47">
        <f t="shared" si="19"/>
        <v>15.198201733937831</v>
      </c>
      <c r="X74" s="47">
        <f t="shared" si="35"/>
        <v>0.13780000000000003</v>
      </c>
      <c r="Y74" s="53">
        <f t="shared" si="36"/>
        <v>2.5999999999999999E-2</v>
      </c>
      <c r="Z74" s="47">
        <f t="shared" si="37"/>
        <v>0.13133080860215057</v>
      </c>
      <c r="AA74" s="47">
        <f t="shared" si="20"/>
        <v>15.329532542539981</v>
      </c>
      <c r="AC74" s="51">
        <f t="shared" si="33"/>
        <v>0</v>
      </c>
    </row>
    <row r="75" spans="1:33" ht="20.25" customHeight="1" x14ac:dyDescent="0.2">
      <c r="A75" s="20">
        <f t="shared" si="38"/>
        <v>70</v>
      </c>
      <c r="B75" s="9"/>
      <c r="C75" s="10"/>
      <c r="D75" s="11"/>
      <c r="E75" s="12"/>
      <c r="F75" s="21"/>
      <c r="G75" s="14"/>
      <c r="H75" s="22"/>
      <c r="I75" s="62"/>
      <c r="J75" s="16">
        <v>1</v>
      </c>
      <c r="K75" s="16">
        <v>1</v>
      </c>
      <c r="L75" s="17">
        <v>0</v>
      </c>
      <c r="M75" s="12">
        <v>6</v>
      </c>
      <c r="N75" s="23"/>
      <c r="O75" s="24"/>
      <c r="P75" s="44">
        <f t="shared" si="34"/>
        <v>0</v>
      </c>
      <c r="Q75" s="47">
        <f t="shared" si="17"/>
        <v>-1009769.6500000001</v>
      </c>
      <c r="R75" s="44">
        <f t="shared" si="30"/>
        <v>0</v>
      </c>
      <c r="S75" s="45">
        <f t="shared" si="31"/>
        <v>4059</v>
      </c>
      <c r="T75" s="46">
        <f t="shared" si="32"/>
        <v>0</v>
      </c>
      <c r="U75" s="52">
        <v>97.4</v>
      </c>
      <c r="V75" s="44">
        <f t="shared" si="18"/>
        <v>0</v>
      </c>
      <c r="W75" s="47">
        <f t="shared" si="19"/>
        <v>15.198201733937831</v>
      </c>
      <c r="X75" s="47">
        <f t="shared" si="35"/>
        <v>0.13780000000000003</v>
      </c>
      <c r="Y75" s="53">
        <f t="shared" si="36"/>
        <v>2.5999999999999999E-2</v>
      </c>
      <c r="Z75" s="47">
        <f t="shared" si="37"/>
        <v>0.13133080860215057</v>
      </c>
      <c r="AA75" s="47">
        <f t="shared" si="20"/>
        <v>15.329532542539981</v>
      </c>
      <c r="AC75" s="51">
        <f t="shared" si="33"/>
        <v>0</v>
      </c>
      <c r="AE75">
        <v>8823.8843626836551</v>
      </c>
      <c r="AF75">
        <f>AE75*F75</f>
        <v>0</v>
      </c>
      <c r="AG75">
        <f>F75</f>
        <v>0</v>
      </c>
    </row>
    <row r="76" spans="1:33" ht="20.25" customHeight="1" x14ac:dyDescent="0.2">
      <c r="A76" s="20">
        <f t="shared" si="38"/>
        <v>71</v>
      </c>
      <c r="B76" s="9"/>
      <c r="C76" s="10"/>
      <c r="D76" s="11"/>
      <c r="E76" s="12"/>
      <c r="F76" s="21"/>
      <c r="G76" s="14"/>
      <c r="H76" s="22"/>
      <c r="I76" s="62"/>
      <c r="J76" s="16">
        <v>1</v>
      </c>
      <c r="K76" s="16">
        <v>1</v>
      </c>
      <c r="L76" s="17">
        <v>0</v>
      </c>
      <c r="M76" s="12">
        <v>6</v>
      </c>
      <c r="N76" s="23"/>
      <c r="O76" s="24"/>
      <c r="P76" s="44">
        <f t="shared" si="34"/>
        <v>0</v>
      </c>
      <c r="Q76" s="47">
        <f t="shared" si="17"/>
        <v>-1009769.6500000001</v>
      </c>
      <c r="R76" s="44">
        <f t="shared" si="30"/>
        <v>0</v>
      </c>
      <c r="S76" s="45">
        <f t="shared" si="31"/>
        <v>4059</v>
      </c>
      <c r="T76" s="46">
        <f t="shared" si="32"/>
        <v>0</v>
      </c>
      <c r="U76" s="52">
        <v>97.4</v>
      </c>
      <c r="V76" s="44">
        <f t="shared" si="18"/>
        <v>0</v>
      </c>
      <c r="W76" s="47">
        <f t="shared" si="19"/>
        <v>15.198201733937831</v>
      </c>
      <c r="X76" s="47">
        <f t="shared" si="35"/>
        <v>0.13780000000000003</v>
      </c>
      <c r="Y76" s="53">
        <f t="shared" si="36"/>
        <v>2.5999999999999999E-2</v>
      </c>
      <c r="Z76" s="47">
        <f t="shared" si="37"/>
        <v>0.13133080860215057</v>
      </c>
      <c r="AA76" s="47">
        <f t="shared" si="20"/>
        <v>15.329532542539981</v>
      </c>
      <c r="AC76" s="51">
        <f t="shared" si="33"/>
        <v>0</v>
      </c>
    </row>
    <row r="77" spans="1:33" ht="20.25" customHeight="1" x14ac:dyDescent="0.2">
      <c r="A77" s="20">
        <f t="shared" si="38"/>
        <v>72</v>
      </c>
      <c r="B77" s="9"/>
      <c r="C77" s="10"/>
      <c r="D77" s="11"/>
      <c r="E77" s="12"/>
      <c r="F77" s="21"/>
      <c r="G77" s="14"/>
      <c r="H77" s="22"/>
      <c r="I77" s="62"/>
      <c r="J77" s="16">
        <v>1</v>
      </c>
      <c r="K77" s="16">
        <v>1</v>
      </c>
      <c r="L77" s="17">
        <v>0</v>
      </c>
      <c r="M77" s="12">
        <v>6</v>
      </c>
      <c r="N77" s="23"/>
      <c r="O77" s="24"/>
      <c r="P77" s="44">
        <f t="shared" si="34"/>
        <v>0</v>
      </c>
      <c r="Q77" s="47">
        <f t="shared" si="17"/>
        <v>-1009769.6500000001</v>
      </c>
      <c r="R77" s="44">
        <f t="shared" si="30"/>
        <v>0</v>
      </c>
      <c r="S77" s="45">
        <f t="shared" si="31"/>
        <v>4059</v>
      </c>
      <c r="T77" s="46">
        <f t="shared" si="32"/>
        <v>0</v>
      </c>
      <c r="U77" s="52">
        <v>97.4</v>
      </c>
      <c r="V77" s="44">
        <f t="shared" si="18"/>
        <v>0</v>
      </c>
      <c r="W77" s="47">
        <f t="shared" si="19"/>
        <v>15.198201733937831</v>
      </c>
      <c r="X77" s="47">
        <f t="shared" si="35"/>
        <v>0.13780000000000003</v>
      </c>
      <c r="Y77" s="53">
        <f t="shared" si="36"/>
        <v>2.5999999999999999E-2</v>
      </c>
      <c r="Z77" s="47">
        <f t="shared" si="37"/>
        <v>0.13133080860215057</v>
      </c>
      <c r="AA77" s="47">
        <f t="shared" si="20"/>
        <v>15.329532542539981</v>
      </c>
      <c r="AC77" s="51">
        <f t="shared" si="33"/>
        <v>0</v>
      </c>
    </row>
    <row r="78" spans="1:33" ht="20.25" customHeight="1" x14ac:dyDescent="0.2">
      <c r="A78" s="20">
        <f t="shared" si="38"/>
        <v>73</v>
      </c>
      <c r="B78" s="9"/>
      <c r="C78" s="10"/>
      <c r="D78" s="11"/>
      <c r="E78" s="12"/>
      <c r="F78" s="21"/>
      <c r="G78" s="14"/>
      <c r="H78" s="22"/>
      <c r="I78" s="62"/>
      <c r="J78" s="16">
        <v>1</v>
      </c>
      <c r="K78" s="16">
        <v>1</v>
      </c>
      <c r="L78" s="17">
        <v>0</v>
      </c>
      <c r="M78" s="12">
        <v>6</v>
      </c>
      <c r="N78" s="23"/>
      <c r="O78" s="24"/>
      <c r="P78" s="44">
        <f t="shared" si="34"/>
        <v>0</v>
      </c>
      <c r="Q78" s="47">
        <f t="shared" si="17"/>
        <v>-1009769.6500000001</v>
      </c>
      <c r="R78" s="44">
        <f t="shared" si="30"/>
        <v>0</v>
      </c>
      <c r="S78" s="45">
        <f t="shared" si="31"/>
        <v>4059</v>
      </c>
      <c r="T78" s="46">
        <f t="shared" si="32"/>
        <v>0</v>
      </c>
      <c r="U78" s="52">
        <v>97.4</v>
      </c>
      <c r="V78" s="44">
        <f t="shared" si="18"/>
        <v>0</v>
      </c>
      <c r="W78" s="47">
        <f t="shared" si="19"/>
        <v>15.198201733937831</v>
      </c>
      <c r="X78" s="47">
        <f t="shared" si="35"/>
        <v>0.13780000000000003</v>
      </c>
      <c r="Y78" s="53">
        <f t="shared" si="36"/>
        <v>2.5999999999999999E-2</v>
      </c>
      <c r="Z78" s="47">
        <f t="shared" si="37"/>
        <v>0.13133080860215057</v>
      </c>
      <c r="AA78" s="47">
        <f t="shared" si="20"/>
        <v>15.329532542539981</v>
      </c>
      <c r="AC78" s="51">
        <f t="shared" si="33"/>
        <v>0</v>
      </c>
    </row>
    <row r="79" spans="1:33" ht="20.25" customHeight="1" x14ac:dyDescent="0.2">
      <c r="A79" s="20">
        <f t="shared" si="38"/>
        <v>74</v>
      </c>
      <c r="B79" s="9"/>
      <c r="C79" s="10"/>
      <c r="D79" s="11"/>
      <c r="E79" s="12"/>
      <c r="F79" s="21"/>
      <c r="G79" s="14"/>
      <c r="H79" s="22"/>
      <c r="I79" s="62"/>
      <c r="J79" s="16">
        <v>1</v>
      </c>
      <c r="K79" s="16">
        <v>1</v>
      </c>
      <c r="L79" s="17">
        <v>0</v>
      </c>
      <c r="M79" s="12">
        <v>6</v>
      </c>
      <c r="N79" s="23"/>
      <c r="O79" s="24"/>
      <c r="P79" s="44">
        <f t="shared" si="34"/>
        <v>0</v>
      </c>
      <c r="Q79" s="47">
        <f t="shared" si="17"/>
        <v>-1009769.6500000001</v>
      </c>
      <c r="R79" s="44">
        <f t="shared" si="30"/>
        <v>0</v>
      </c>
      <c r="S79" s="45">
        <f t="shared" si="31"/>
        <v>4059</v>
      </c>
      <c r="T79" s="46">
        <f t="shared" si="32"/>
        <v>0</v>
      </c>
      <c r="U79" s="52">
        <v>97.4</v>
      </c>
      <c r="V79" s="44">
        <f t="shared" si="18"/>
        <v>0</v>
      </c>
      <c r="W79" s="47">
        <f t="shared" si="19"/>
        <v>15.198201733937831</v>
      </c>
      <c r="X79" s="47">
        <f t="shared" si="35"/>
        <v>0.13780000000000003</v>
      </c>
      <c r="Y79" s="53">
        <f t="shared" si="36"/>
        <v>2.5999999999999999E-2</v>
      </c>
      <c r="Z79" s="47">
        <f t="shared" si="37"/>
        <v>0.13133080860215057</v>
      </c>
      <c r="AA79" s="47">
        <f t="shared" si="20"/>
        <v>15.329532542539981</v>
      </c>
      <c r="AC79" s="51">
        <f t="shared" si="33"/>
        <v>0</v>
      </c>
      <c r="AE79">
        <v>7717.4186796665708</v>
      </c>
      <c r="AF79">
        <f>AE79*F79</f>
        <v>0</v>
      </c>
      <c r="AG79">
        <f>F79</f>
        <v>0</v>
      </c>
    </row>
    <row r="80" spans="1:33" ht="20.25" customHeight="1" x14ac:dyDescent="0.2">
      <c r="A80" s="20">
        <f t="shared" si="38"/>
        <v>75</v>
      </c>
      <c r="B80" s="9"/>
      <c r="C80" s="10"/>
      <c r="D80" s="11"/>
      <c r="E80" s="12"/>
      <c r="F80" s="21"/>
      <c r="G80" s="14"/>
      <c r="H80" s="22"/>
      <c r="I80" s="62"/>
      <c r="J80" s="16">
        <v>1</v>
      </c>
      <c r="K80" s="16">
        <v>1</v>
      </c>
      <c r="L80" s="17">
        <v>0</v>
      </c>
      <c r="M80" s="12">
        <v>6</v>
      </c>
      <c r="N80" s="23"/>
      <c r="O80" s="24"/>
      <c r="P80" s="44">
        <f t="shared" si="34"/>
        <v>0</v>
      </c>
      <c r="Q80" s="47">
        <f t="shared" si="17"/>
        <v>-1009769.6500000001</v>
      </c>
      <c r="R80" s="44">
        <f t="shared" si="30"/>
        <v>0</v>
      </c>
      <c r="S80" s="45">
        <f t="shared" si="31"/>
        <v>4059</v>
      </c>
      <c r="T80" s="46">
        <f t="shared" si="32"/>
        <v>0</v>
      </c>
      <c r="U80" s="52">
        <v>97.4</v>
      </c>
      <c r="V80" s="44">
        <f t="shared" si="18"/>
        <v>0</v>
      </c>
      <c r="W80" s="47">
        <f t="shared" si="19"/>
        <v>15.198201733937831</v>
      </c>
      <c r="X80" s="47">
        <f t="shared" si="35"/>
        <v>0.13780000000000003</v>
      </c>
      <c r="Y80" s="53">
        <f t="shared" si="36"/>
        <v>2.5999999999999999E-2</v>
      </c>
      <c r="Z80" s="47">
        <f t="shared" si="37"/>
        <v>0.13133080860215057</v>
      </c>
      <c r="AA80" s="47">
        <f t="shared" si="20"/>
        <v>15.329532542539981</v>
      </c>
      <c r="AC80" s="51">
        <f t="shared" si="33"/>
        <v>0</v>
      </c>
    </row>
    <row r="81" spans="1:33" ht="20.25" customHeight="1" x14ac:dyDescent="0.2">
      <c r="A81" s="20">
        <f t="shared" si="38"/>
        <v>76</v>
      </c>
      <c r="B81" s="9"/>
      <c r="C81" s="10"/>
      <c r="D81" s="11"/>
      <c r="E81" s="12"/>
      <c r="F81" s="21"/>
      <c r="G81" s="14"/>
      <c r="H81" s="22"/>
      <c r="I81" s="62"/>
      <c r="J81" s="16">
        <v>1</v>
      </c>
      <c r="K81" s="16">
        <v>1</v>
      </c>
      <c r="L81" s="17">
        <v>0</v>
      </c>
      <c r="M81" s="12">
        <v>6</v>
      </c>
      <c r="N81" s="23"/>
      <c r="O81" s="24"/>
      <c r="P81" s="44">
        <f t="shared" si="34"/>
        <v>0</v>
      </c>
      <c r="Q81" s="47">
        <f t="shared" si="17"/>
        <v>-1009769.6500000001</v>
      </c>
      <c r="R81" s="44">
        <f t="shared" si="30"/>
        <v>0</v>
      </c>
      <c r="S81" s="45">
        <f t="shared" si="31"/>
        <v>4059</v>
      </c>
      <c r="T81" s="46">
        <f t="shared" si="32"/>
        <v>0</v>
      </c>
      <c r="U81" s="52">
        <v>97.4</v>
      </c>
      <c r="V81" s="44">
        <f t="shared" si="18"/>
        <v>0</v>
      </c>
      <c r="W81" s="47">
        <f t="shared" si="19"/>
        <v>15.198201733937831</v>
      </c>
      <c r="X81" s="47">
        <f t="shared" si="35"/>
        <v>0.13780000000000003</v>
      </c>
      <c r="Y81" s="53">
        <f t="shared" si="36"/>
        <v>2.5999999999999999E-2</v>
      </c>
      <c r="Z81" s="47">
        <f t="shared" si="37"/>
        <v>0.13133080860215057</v>
      </c>
      <c r="AA81" s="47">
        <f t="shared" si="20"/>
        <v>15.329532542539981</v>
      </c>
      <c r="AC81" s="51">
        <f t="shared" si="33"/>
        <v>0</v>
      </c>
      <c r="AF81">
        <f>SUM(AF63:AF79)</f>
        <v>0</v>
      </c>
      <c r="AG81">
        <f>SUM(AG63:AG79)</f>
        <v>0</v>
      </c>
    </row>
    <row r="82" spans="1:33" ht="20.25" customHeight="1" x14ac:dyDescent="0.2">
      <c r="A82" s="20">
        <f t="shared" si="38"/>
        <v>77</v>
      </c>
      <c r="B82" s="9"/>
      <c r="C82" s="10"/>
      <c r="D82" s="11"/>
      <c r="E82" s="12"/>
      <c r="F82" s="21"/>
      <c r="G82" s="14"/>
      <c r="H82" s="22"/>
      <c r="I82" s="62"/>
      <c r="J82" s="16">
        <v>1</v>
      </c>
      <c r="K82" s="16">
        <v>1</v>
      </c>
      <c r="L82" s="17">
        <v>0</v>
      </c>
      <c r="M82" s="12">
        <v>6</v>
      </c>
      <c r="N82" s="23"/>
      <c r="O82" s="24"/>
      <c r="P82" s="44">
        <f t="shared" si="34"/>
        <v>0</v>
      </c>
      <c r="Q82" s="47">
        <f t="shared" si="17"/>
        <v>-1009769.6500000001</v>
      </c>
      <c r="R82" s="44">
        <f t="shared" si="30"/>
        <v>0</v>
      </c>
      <c r="S82" s="45">
        <f t="shared" si="31"/>
        <v>4059</v>
      </c>
      <c r="T82" s="46">
        <f t="shared" si="32"/>
        <v>0</v>
      </c>
      <c r="U82" s="52">
        <v>97.4</v>
      </c>
      <c r="V82" s="44">
        <f t="shared" si="18"/>
        <v>0</v>
      </c>
      <c r="W82" s="47">
        <f t="shared" si="19"/>
        <v>15.198201733937831</v>
      </c>
      <c r="X82" s="47">
        <f t="shared" si="35"/>
        <v>0.13780000000000003</v>
      </c>
      <c r="Y82" s="53">
        <f t="shared" si="36"/>
        <v>2.5999999999999999E-2</v>
      </c>
      <c r="Z82" s="47">
        <f t="shared" si="37"/>
        <v>0.13133080860215057</v>
      </c>
      <c r="AA82" s="47">
        <f t="shared" si="20"/>
        <v>15.329532542539981</v>
      </c>
      <c r="AC82" s="51">
        <f t="shared" si="33"/>
        <v>0</v>
      </c>
    </row>
    <row r="83" spans="1:33" ht="20.25" customHeight="1" x14ac:dyDescent="0.2">
      <c r="A83" s="20">
        <f t="shared" si="38"/>
        <v>78</v>
      </c>
      <c r="B83" s="9"/>
      <c r="C83" s="10"/>
      <c r="D83" s="11"/>
      <c r="E83" s="12"/>
      <c r="F83" s="21"/>
      <c r="G83" s="14"/>
      <c r="H83" s="22"/>
      <c r="I83" s="62"/>
      <c r="J83" s="16">
        <v>1</v>
      </c>
      <c r="K83" s="16">
        <v>1</v>
      </c>
      <c r="L83" s="17">
        <v>0</v>
      </c>
      <c r="M83" s="12">
        <v>6</v>
      </c>
      <c r="N83" s="23"/>
      <c r="O83" s="24"/>
      <c r="P83" s="44">
        <f t="shared" si="34"/>
        <v>0</v>
      </c>
      <c r="Q83" s="47">
        <f t="shared" si="17"/>
        <v>-1009769.6500000001</v>
      </c>
      <c r="R83" s="44">
        <f t="shared" si="30"/>
        <v>0</v>
      </c>
      <c r="S83" s="45">
        <f t="shared" si="31"/>
        <v>4059</v>
      </c>
      <c r="T83" s="46">
        <f t="shared" si="32"/>
        <v>0</v>
      </c>
      <c r="U83" s="52">
        <v>97.4</v>
      </c>
      <c r="V83" s="44">
        <f t="shared" si="18"/>
        <v>0</v>
      </c>
      <c r="W83" s="47">
        <f t="shared" si="19"/>
        <v>15.198201733937831</v>
      </c>
      <c r="X83" s="47">
        <f t="shared" si="35"/>
        <v>0.13780000000000003</v>
      </c>
      <c r="Y83" s="53">
        <f t="shared" si="36"/>
        <v>2.5999999999999999E-2</v>
      </c>
      <c r="Z83" s="47">
        <f t="shared" si="37"/>
        <v>0.13133080860215057</v>
      </c>
      <c r="AA83" s="47">
        <f t="shared" si="20"/>
        <v>15.329532542539981</v>
      </c>
      <c r="AC83" s="51">
        <f t="shared" si="33"/>
        <v>0</v>
      </c>
    </row>
    <row r="84" spans="1:33" ht="20.25" customHeight="1" x14ac:dyDescent="0.2">
      <c r="A84" s="20">
        <f t="shared" si="38"/>
        <v>79</v>
      </c>
      <c r="B84" s="9"/>
      <c r="C84" s="10"/>
      <c r="D84" s="11"/>
      <c r="E84" s="12"/>
      <c r="F84" s="21"/>
      <c r="G84" s="14"/>
      <c r="H84" s="22"/>
      <c r="I84" s="62"/>
      <c r="J84" s="16">
        <v>1</v>
      </c>
      <c r="K84" s="16">
        <v>1</v>
      </c>
      <c r="L84" s="17">
        <v>0</v>
      </c>
      <c r="M84" s="12">
        <v>6</v>
      </c>
      <c r="N84" s="23"/>
      <c r="O84" s="24"/>
      <c r="P84" s="44">
        <f t="shared" si="34"/>
        <v>0</v>
      </c>
      <c r="Q84" s="47">
        <f t="shared" si="17"/>
        <v>-1009769.6500000001</v>
      </c>
      <c r="R84" s="44">
        <f t="shared" si="30"/>
        <v>0</v>
      </c>
      <c r="S84" s="45">
        <f t="shared" si="31"/>
        <v>4059</v>
      </c>
      <c r="T84" s="46">
        <f t="shared" si="32"/>
        <v>0</v>
      </c>
      <c r="U84" s="52">
        <v>97.4</v>
      </c>
      <c r="V84" s="44">
        <f t="shared" si="18"/>
        <v>0</v>
      </c>
      <c r="W84" s="47">
        <f t="shared" si="19"/>
        <v>15.198201733937831</v>
      </c>
      <c r="X84" s="47">
        <f t="shared" si="35"/>
        <v>0.13780000000000003</v>
      </c>
      <c r="Y84" s="53">
        <f t="shared" si="36"/>
        <v>2.5999999999999999E-2</v>
      </c>
      <c r="Z84" s="47">
        <f t="shared" si="37"/>
        <v>0.13133080860215057</v>
      </c>
      <c r="AA84" s="47">
        <f t="shared" si="20"/>
        <v>15.329532542539981</v>
      </c>
      <c r="AC84" s="51">
        <f t="shared" si="33"/>
        <v>0</v>
      </c>
      <c r="AF84" t="e">
        <f>AF81/AG81</f>
        <v>#DIV/0!</v>
      </c>
    </row>
    <row r="85" spans="1:33" ht="20.25" customHeight="1" x14ac:dyDescent="0.2">
      <c r="A85" s="20">
        <f t="shared" si="38"/>
        <v>80</v>
      </c>
      <c r="B85" s="9"/>
      <c r="C85" s="10"/>
      <c r="D85" s="11"/>
      <c r="E85" s="12"/>
      <c r="F85" s="21"/>
      <c r="G85" s="14"/>
      <c r="H85" s="22"/>
      <c r="I85" s="62"/>
      <c r="J85" s="16">
        <v>1</v>
      </c>
      <c r="K85" s="16">
        <v>1</v>
      </c>
      <c r="L85" s="17">
        <v>0</v>
      </c>
      <c r="M85" s="12">
        <v>6</v>
      </c>
      <c r="N85" s="23"/>
      <c r="O85" s="24"/>
      <c r="P85" s="44">
        <f t="shared" si="34"/>
        <v>0</v>
      </c>
      <c r="Q85" s="47">
        <f t="shared" si="17"/>
        <v>-1009769.6500000001</v>
      </c>
      <c r="R85" s="44">
        <f t="shared" si="30"/>
        <v>0</v>
      </c>
      <c r="S85" s="45">
        <f t="shared" si="31"/>
        <v>4059</v>
      </c>
      <c r="T85" s="46">
        <f t="shared" si="32"/>
        <v>0</v>
      </c>
      <c r="U85" s="52">
        <v>97.4</v>
      </c>
      <c r="V85" s="44">
        <f t="shared" si="18"/>
        <v>0</v>
      </c>
      <c r="W85" s="47">
        <f t="shared" si="19"/>
        <v>15.198201733937831</v>
      </c>
      <c r="X85" s="47">
        <f t="shared" si="35"/>
        <v>0.13780000000000003</v>
      </c>
      <c r="Y85" s="53">
        <f t="shared" si="36"/>
        <v>2.5999999999999999E-2</v>
      </c>
      <c r="Z85" s="47">
        <f t="shared" si="37"/>
        <v>0.13133080860215057</v>
      </c>
      <c r="AA85" s="47">
        <f t="shared" si="20"/>
        <v>15.329532542539981</v>
      </c>
      <c r="AC85" s="51">
        <f t="shared" si="33"/>
        <v>0</v>
      </c>
    </row>
    <row r="86" spans="1:33" ht="20.25" customHeight="1" x14ac:dyDescent="0.2">
      <c r="A86" s="20">
        <f t="shared" si="38"/>
        <v>81</v>
      </c>
      <c r="B86" s="9"/>
      <c r="C86" s="10"/>
      <c r="D86" s="11"/>
      <c r="E86" s="12"/>
      <c r="F86" s="21"/>
      <c r="G86" s="14"/>
      <c r="H86" s="22"/>
      <c r="I86" s="62"/>
      <c r="J86" s="16">
        <v>1</v>
      </c>
      <c r="K86" s="16">
        <v>1</v>
      </c>
      <c r="L86" s="17">
        <v>0</v>
      </c>
      <c r="M86" s="12">
        <v>6</v>
      </c>
      <c r="N86" s="23"/>
      <c r="O86" s="24"/>
      <c r="P86" s="44">
        <f t="shared" si="34"/>
        <v>0</v>
      </c>
      <c r="Q86" s="47">
        <f t="shared" si="17"/>
        <v>-1009769.6500000001</v>
      </c>
      <c r="R86" s="44">
        <f t="shared" si="30"/>
        <v>0</v>
      </c>
      <c r="S86" s="45">
        <f t="shared" si="31"/>
        <v>4059</v>
      </c>
      <c r="T86" s="46">
        <f t="shared" si="32"/>
        <v>0</v>
      </c>
      <c r="U86" s="52">
        <v>97.4</v>
      </c>
      <c r="V86" s="44">
        <f t="shared" si="18"/>
        <v>0</v>
      </c>
      <c r="W86" s="47">
        <f t="shared" si="19"/>
        <v>15.198201733937831</v>
      </c>
      <c r="X86" s="47">
        <f t="shared" si="35"/>
        <v>0.13780000000000003</v>
      </c>
      <c r="Y86" s="53">
        <f t="shared" si="36"/>
        <v>2.5999999999999999E-2</v>
      </c>
      <c r="Z86" s="47">
        <f t="shared" si="37"/>
        <v>0.13133080860215057</v>
      </c>
      <c r="AA86" s="47">
        <f t="shared" si="20"/>
        <v>15.329532542539981</v>
      </c>
      <c r="AC86" s="51">
        <f t="shared" si="33"/>
        <v>0</v>
      </c>
    </row>
    <row r="87" spans="1:33" ht="20.25" customHeight="1" x14ac:dyDescent="0.2">
      <c r="A87" s="20">
        <f t="shared" si="38"/>
        <v>82</v>
      </c>
      <c r="B87" s="9"/>
      <c r="C87" s="10"/>
      <c r="D87" s="11"/>
      <c r="E87" s="12"/>
      <c r="F87" s="21"/>
      <c r="G87" s="14"/>
      <c r="H87" s="22"/>
      <c r="I87" s="62"/>
      <c r="J87" s="16">
        <v>1</v>
      </c>
      <c r="K87" s="16">
        <v>1</v>
      </c>
      <c r="L87" s="17">
        <v>0</v>
      </c>
      <c r="M87" s="12">
        <v>6</v>
      </c>
      <c r="N87" s="23"/>
      <c r="O87" s="24"/>
      <c r="P87" s="44">
        <f t="shared" si="34"/>
        <v>0</v>
      </c>
      <c r="Q87" s="47">
        <f t="shared" si="17"/>
        <v>-1009769.6500000001</v>
      </c>
      <c r="R87" s="44">
        <f t="shared" si="30"/>
        <v>0</v>
      </c>
      <c r="S87" s="45">
        <f t="shared" si="31"/>
        <v>4059</v>
      </c>
      <c r="T87" s="46">
        <f t="shared" si="32"/>
        <v>0</v>
      </c>
      <c r="U87" s="52">
        <v>97.4</v>
      </c>
      <c r="V87" s="44">
        <f t="shared" si="18"/>
        <v>0</v>
      </c>
      <c r="W87" s="47">
        <f t="shared" si="19"/>
        <v>15.198201733937831</v>
      </c>
      <c r="X87" s="47">
        <f t="shared" si="35"/>
        <v>0.13780000000000003</v>
      </c>
      <c r="Y87" s="53">
        <f t="shared" si="36"/>
        <v>2.5999999999999999E-2</v>
      </c>
      <c r="Z87" s="47">
        <f t="shared" si="37"/>
        <v>0.13133080860215057</v>
      </c>
      <c r="AA87" s="47">
        <f t="shared" si="20"/>
        <v>15.329532542539981</v>
      </c>
      <c r="AC87" s="51">
        <f t="shared" si="33"/>
        <v>0</v>
      </c>
    </row>
    <row r="88" spans="1:33" ht="20.25" customHeight="1" x14ac:dyDescent="0.2">
      <c r="A88" s="20">
        <f t="shared" si="38"/>
        <v>83</v>
      </c>
      <c r="B88" s="9"/>
      <c r="C88" s="10"/>
      <c r="D88" s="11"/>
      <c r="E88" s="12"/>
      <c r="F88" s="21"/>
      <c r="G88" s="14"/>
      <c r="H88" s="22"/>
      <c r="I88" s="62"/>
      <c r="J88" s="16">
        <v>1</v>
      </c>
      <c r="K88" s="16">
        <v>1</v>
      </c>
      <c r="L88" s="17">
        <v>0</v>
      </c>
      <c r="M88" s="12">
        <v>6</v>
      </c>
      <c r="N88" s="23"/>
      <c r="O88" s="24"/>
      <c r="P88" s="44">
        <f t="shared" si="34"/>
        <v>0</v>
      </c>
      <c r="Q88" s="47">
        <f t="shared" si="17"/>
        <v>-1009769.6500000001</v>
      </c>
      <c r="R88" s="44">
        <f t="shared" si="30"/>
        <v>0</v>
      </c>
      <c r="S88" s="45">
        <f t="shared" si="31"/>
        <v>4059</v>
      </c>
      <c r="T88" s="46">
        <f t="shared" si="32"/>
        <v>0</v>
      </c>
      <c r="U88" s="52">
        <v>97.4</v>
      </c>
      <c r="V88" s="44">
        <f t="shared" si="18"/>
        <v>0</v>
      </c>
      <c r="W88" s="47">
        <f t="shared" si="19"/>
        <v>15.198201733937831</v>
      </c>
      <c r="X88" s="47">
        <f t="shared" si="35"/>
        <v>0.13780000000000003</v>
      </c>
      <c r="Y88" s="53">
        <f t="shared" si="36"/>
        <v>2.5999999999999999E-2</v>
      </c>
      <c r="Z88" s="47">
        <f t="shared" si="37"/>
        <v>0.13133080860215057</v>
      </c>
      <c r="AA88" s="47">
        <f t="shared" si="20"/>
        <v>15.329532542539981</v>
      </c>
      <c r="AC88" s="51">
        <f t="shared" si="33"/>
        <v>0</v>
      </c>
    </row>
    <row r="89" spans="1:33" ht="20.25" customHeight="1" x14ac:dyDescent="0.2">
      <c r="A89" s="20">
        <f t="shared" si="38"/>
        <v>84</v>
      </c>
      <c r="B89" s="9"/>
      <c r="C89" s="10"/>
      <c r="D89" s="11"/>
      <c r="E89" s="12"/>
      <c r="F89" s="21"/>
      <c r="G89" s="14"/>
      <c r="H89" s="22"/>
      <c r="I89" s="62"/>
      <c r="J89" s="16">
        <v>1</v>
      </c>
      <c r="K89" s="16">
        <v>1</v>
      </c>
      <c r="L89" s="17">
        <v>0</v>
      </c>
      <c r="M89" s="12">
        <v>6</v>
      </c>
      <c r="N89" s="23"/>
      <c r="O89" s="24"/>
      <c r="P89" s="44">
        <f t="shared" si="34"/>
        <v>0</v>
      </c>
      <c r="Q89" s="47">
        <f t="shared" si="17"/>
        <v>-1009769.6500000001</v>
      </c>
      <c r="R89" s="44">
        <f t="shared" si="30"/>
        <v>0</v>
      </c>
      <c r="S89" s="45">
        <f t="shared" si="31"/>
        <v>4059</v>
      </c>
      <c r="T89" s="46">
        <f t="shared" si="32"/>
        <v>0</v>
      </c>
      <c r="U89" s="52">
        <v>97.4</v>
      </c>
      <c r="V89" s="44">
        <f t="shared" si="18"/>
        <v>0</v>
      </c>
      <c r="W89" s="47">
        <f t="shared" si="19"/>
        <v>15.198201733937831</v>
      </c>
      <c r="X89" s="47">
        <f t="shared" si="35"/>
        <v>0.13780000000000003</v>
      </c>
      <c r="Y89" s="53">
        <f t="shared" si="36"/>
        <v>2.5999999999999999E-2</v>
      </c>
      <c r="Z89" s="47">
        <f t="shared" si="37"/>
        <v>0.13133080860215057</v>
      </c>
      <c r="AA89" s="47">
        <f t="shared" si="20"/>
        <v>15.329532542539981</v>
      </c>
      <c r="AC89" s="51">
        <f t="shared" si="33"/>
        <v>0</v>
      </c>
    </row>
    <row r="90" spans="1:33" ht="20.25" customHeight="1" x14ac:dyDescent="0.2">
      <c r="A90" s="20">
        <f t="shared" si="38"/>
        <v>85</v>
      </c>
      <c r="B90" s="9"/>
      <c r="C90" s="10"/>
      <c r="D90" s="11"/>
      <c r="E90" s="12"/>
      <c r="F90" s="21"/>
      <c r="G90" s="14"/>
      <c r="H90" s="22"/>
      <c r="I90" s="62"/>
      <c r="J90" s="16">
        <v>1</v>
      </c>
      <c r="K90" s="16">
        <v>1</v>
      </c>
      <c r="L90" s="17">
        <v>0</v>
      </c>
      <c r="M90" s="12">
        <v>6</v>
      </c>
      <c r="N90" s="23"/>
      <c r="O90" s="24"/>
      <c r="P90" s="44">
        <f t="shared" si="34"/>
        <v>0</v>
      </c>
      <c r="Q90" s="47">
        <f t="shared" si="17"/>
        <v>-1009769.6500000001</v>
      </c>
      <c r="R90" s="44">
        <f t="shared" si="30"/>
        <v>0</v>
      </c>
      <c r="S90" s="45">
        <f t="shared" si="31"/>
        <v>4059</v>
      </c>
      <c r="T90" s="46">
        <f t="shared" si="32"/>
        <v>0</v>
      </c>
      <c r="U90" s="52">
        <v>97.4</v>
      </c>
      <c r="V90" s="44">
        <f t="shared" si="18"/>
        <v>0</v>
      </c>
      <c r="W90" s="47">
        <f t="shared" si="19"/>
        <v>15.198201733937831</v>
      </c>
      <c r="X90" s="47">
        <f t="shared" si="35"/>
        <v>0.13780000000000003</v>
      </c>
      <c r="Y90" s="53">
        <f t="shared" si="36"/>
        <v>2.5999999999999999E-2</v>
      </c>
      <c r="Z90" s="47">
        <f t="shared" si="37"/>
        <v>0.13133080860215057</v>
      </c>
      <c r="AA90" s="47">
        <f t="shared" si="20"/>
        <v>15.329532542539981</v>
      </c>
      <c r="AC90" s="51">
        <f t="shared" si="33"/>
        <v>0</v>
      </c>
    </row>
    <row r="91" spans="1:33" ht="20.25" customHeight="1" x14ac:dyDescent="0.2">
      <c r="A91" s="20">
        <f t="shared" si="38"/>
        <v>86</v>
      </c>
      <c r="B91" s="9"/>
      <c r="C91" s="10"/>
      <c r="D91" s="11"/>
      <c r="E91" s="12"/>
      <c r="F91" s="21"/>
      <c r="G91" s="14"/>
      <c r="H91" s="22"/>
      <c r="I91" s="62"/>
      <c r="J91" s="16">
        <v>1</v>
      </c>
      <c r="K91" s="16">
        <v>1</v>
      </c>
      <c r="L91" s="17">
        <v>0</v>
      </c>
      <c r="M91" s="12">
        <v>6</v>
      </c>
      <c r="N91" s="23"/>
      <c r="O91" s="24"/>
      <c r="P91" s="44">
        <f t="shared" si="34"/>
        <v>0</v>
      </c>
      <c r="Q91" s="47">
        <f t="shared" si="17"/>
        <v>-1009769.6500000001</v>
      </c>
      <c r="R91" s="44">
        <f t="shared" si="30"/>
        <v>0</v>
      </c>
      <c r="S91" s="45">
        <f t="shared" si="31"/>
        <v>4059</v>
      </c>
      <c r="T91" s="46">
        <f t="shared" si="32"/>
        <v>0</v>
      </c>
      <c r="U91" s="52">
        <v>97.4</v>
      </c>
      <c r="V91" s="44">
        <f t="shared" si="18"/>
        <v>0</v>
      </c>
      <c r="W91" s="47">
        <f t="shared" si="19"/>
        <v>15.198201733937831</v>
      </c>
      <c r="X91" s="47">
        <f t="shared" si="35"/>
        <v>0.13780000000000003</v>
      </c>
      <c r="Y91" s="53">
        <f t="shared" si="36"/>
        <v>2.5999999999999999E-2</v>
      </c>
      <c r="Z91" s="47">
        <f t="shared" si="37"/>
        <v>0.13133080860215057</v>
      </c>
      <c r="AA91" s="47">
        <f t="shared" si="20"/>
        <v>15.329532542539981</v>
      </c>
      <c r="AC91" s="51">
        <f t="shared" si="33"/>
        <v>0</v>
      </c>
    </row>
    <row r="92" spans="1:33" ht="20.25" customHeight="1" x14ac:dyDescent="0.2">
      <c r="A92" s="20">
        <f t="shared" si="38"/>
        <v>87</v>
      </c>
      <c r="B92" s="9"/>
      <c r="C92" s="10"/>
      <c r="D92" s="11"/>
      <c r="E92" s="12"/>
      <c r="F92" s="21"/>
      <c r="G92" s="14"/>
      <c r="H92" s="22"/>
      <c r="I92" s="62"/>
      <c r="J92" s="16">
        <v>1</v>
      </c>
      <c r="K92" s="16">
        <v>1</v>
      </c>
      <c r="L92" s="17">
        <v>0</v>
      </c>
      <c r="M92" s="12">
        <v>6</v>
      </c>
      <c r="N92" s="23"/>
      <c r="O92" s="24"/>
      <c r="P92" s="44">
        <f t="shared" si="34"/>
        <v>0</v>
      </c>
      <c r="Q92" s="47">
        <f t="shared" si="17"/>
        <v>-1009769.6500000001</v>
      </c>
      <c r="R92" s="44">
        <f t="shared" si="30"/>
        <v>0</v>
      </c>
      <c r="S92" s="45">
        <f t="shared" si="31"/>
        <v>4059</v>
      </c>
      <c r="T92" s="46">
        <f t="shared" si="32"/>
        <v>0</v>
      </c>
      <c r="U92" s="52">
        <v>97.4</v>
      </c>
      <c r="V92" s="44">
        <f t="shared" si="18"/>
        <v>0</v>
      </c>
      <c r="W92" s="47">
        <f t="shared" si="19"/>
        <v>15.198201733937831</v>
      </c>
      <c r="X92" s="47">
        <f t="shared" si="35"/>
        <v>0.13780000000000003</v>
      </c>
      <c r="Y92" s="53">
        <f t="shared" si="36"/>
        <v>2.5999999999999999E-2</v>
      </c>
      <c r="Z92" s="47">
        <f t="shared" si="37"/>
        <v>0.13133080860215057</v>
      </c>
      <c r="AA92" s="47">
        <f t="shared" si="20"/>
        <v>15.329532542539981</v>
      </c>
      <c r="AC92" s="51">
        <f t="shared" si="33"/>
        <v>0</v>
      </c>
    </row>
    <row r="93" spans="1:33" ht="20.25" customHeight="1" x14ac:dyDescent="0.2">
      <c r="A93" s="20">
        <f t="shared" si="38"/>
        <v>88</v>
      </c>
      <c r="B93" s="9"/>
      <c r="C93" s="10"/>
      <c r="D93" s="11"/>
      <c r="E93" s="12"/>
      <c r="F93" s="21"/>
      <c r="G93" s="14"/>
      <c r="H93" s="22"/>
      <c r="I93" s="62"/>
      <c r="J93" s="16">
        <v>1</v>
      </c>
      <c r="K93" s="16">
        <v>1</v>
      </c>
      <c r="L93" s="17">
        <v>0</v>
      </c>
      <c r="M93" s="12">
        <v>6</v>
      </c>
      <c r="N93" s="23"/>
      <c r="O93" s="24"/>
      <c r="P93" s="44">
        <f t="shared" si="34"/>
        <v>0</v>
      </c>
      <c r="Q93" s="47">
        <f>Q92+P93/60</f>
        <v>-1009769.6500000001</v>
      </c>
      <c r="R93" s="44">
        <f t="shared" si="30"/>
        <v>0</v>
      </c>
      <c r="S93" s="45">
        <f t="shared" si="31"/>
        <v>4059</v>
      </c>
      <c r="T93" s="46">
        <f t="shared" si="32"/>
        <v>0</v>
      </c>
      <c r="U93" s="52">
        <v>97.4</v>
      </c>
      <c r="V93" s="44">
        <f>(T93+R93)*U93/100</f>
        <v>0</v>
      </c>
      <c r="W93" s="47">
        <f>W92+V93/1000</f>
        <v>15.198201733937831</v>
      </c>
      <c r="X93" s="47">
        <f t="shared" si="35"/>
        <v>0.13780000000000003</v>
      </c>
      <c r="Y93" s="53">
        <f t="shared" si="36"/>
        <v>2.5999999999999999E-2</v>
      </c>
      <c r="Z93" s="47">
        <f t="shared" si="37"/>
        <v>0.13133080860215057</v>
      </c>
      <c r="AA93" s="47">
        <f>W93+Z93</f>
        <v>15.329532542539981</v>
      </c>
      <c r="AC93" s="51">
        <f t="shared" si="33"/>
        <v>0</v>
      </c>
    </row>
    <row r="94" spans="1:33" ht="20.25" customHeight="1" x14ac:dyDescent="0.2">
      <c r="A94" s="20">
        <f t="shared" si="38"/>
        <v>89</v>
      </c>
      <c r="B94" s="9"/>
      <c r="C94" s="10"/>
      <c r="D94" s="11"/>
      <c r="E94" s="12"/>
      <c r="F94" s="21"/>
      <c r="G94" s="14"/>
      <c r="H94" s="22"/>
      <c r="I94" s="62"/>
      <c r="J94" s="16">
        <v>1</v>
      </c>
      <c r="K94" s="16">
        <v>1</v>
      </c>
      <c r="L94" s="17">
        <v>0</v>
      </c>
      <c r="M94" s="12">
        <v>6</v>
      </c>
      <c r="N94" s="23"/>
      <c r="O94" s="24"/>
      <c r="P94" s="44">
        <f t="shared" si="34"/>
        <v>0</v>
      </c>
      <c r="Q94" s="47">
        <f>Q93+P94/60</f>
        <v>-1009769.6500000001</v>
      </c>
      <c r="R94" s="44">
        <f t="shared" si="30"/>
        <v>0</v>
      </c>
      <c r="S94" s="45">
        <f t="shared" si="31"/>
        <v>4059</v>
      </c>
      <c r="T94" s="46">
        <f t="shared" si="32"/>
        <v>0</v>
      </c>
      <c r="U94" s="52">
        <v>97.4</v>
      </c>
      <c r="V94" s="44">
        <f>(T94+R94)*U94/100</f>
        <v>0</v>
      </c>
      <c r="W94" s="47">
        <f>W93+V94/1000</f>
        <v>15.198201733937831</v>
      </c>
      <c r="X94" s="47">
        <f t="shared" si="35"/>
        <v>0.13780000000000003</v>
      </c>
      <c r="Y94" s="53">
        <f t="shared" si="36"/>
        <v>2.5999999999999999E-2</v>
      </c>
      <c r="Z94" s="47">
        <f t="shared" si="37"/>
        <v>0.13133080860215057</v>
      </c>
      <c r="AA94" s="47">
        <f>W94+Z94</f>
        <v>15.329532542539981</v>
      </c>
      <c r="AC94" s="51">
        <f t="shared" si="33"/>
        <v>0</v>
      </c>
    </row>
    <row r="95" spans="1:33" ht="20.25" customHeight="1" x14ac:dyDescent="0.2">
      <c r="A95" s="20">
        <f t="shared" si="38"/>
        <v>90</v>
      </c>
      <c r="B95" s="9"/>
      <c r="C95" s="10"/>
      <c r="D95" s="11"/>
      <c r="E95" s="12"/>
      <c r="F95" s="21"/>
      <c r="G95" s="14"/>
      <c r="H95" s="22"/>
      <c r="I95" s="62"/>
      <c r="J95" s="16">
        <v>1</v>
      </c>
      <c r="K95" s="16">
        <v>1</v>
      </c>
      <c r="L95" s="17">
        <v>0</v>
      </c>
      <c r="M95" s="12">
        <v>6</v>
      </c>
      <c r="N95" s="23"/>
      <c r="O95" s="24"/>
      <c r="P95" s="44">
        <f t="shared" si="34"/>
        <v>0</v>
      </c>
      <c r="Q95" s="47">
        <f>Q94+P95/60</f>
        <v>-1009769.6500000001</v>
      </c>
      <c r="R95" s="44">
        <f t="shared" si="30"/>
        <v>0</v>
      </c>
      <c r="S95" s="45">
        <f t="shared" si="31"/>
        <v>4059</v>
      </c>
      <c r="T95" s="46">
        <f t="shared" si="32"/>
        <v>0</v>
      </c>
      <c r="U95" s="52">
        <v>97.4</v>
      </c>
      <c r="V95" s="44">
        <f>(T95+R95)*U95/100</f>
        <v>0</v>
      </c>
      <c r="W95" s="47">
        <f>W94+V95/1000</f>
        <v>15.198201733937831</v>
      </c>
      <c r="X95" s="47">
        <f t="shared" si="35"/>
        <v>0.13780000000000003</v>
      </c>
      <c r="Y95" s="53">
        <f t="shared" si="36"/>
        <v>2.5999999999999999E-2</v>
      </c>
      <c r="Z95" s="47">
        <f t="shared" si="37"/>
        <v>0.13133080860215057</v>
      </c>
      <c r="AA95" s="47">
        <f>W95+Z95</f>
        <v>15.329532542539981</v>
      </c>
      <c r="AC95" s="51">
        <f t="shared" si="33"/>
        <v>0</v>
      </c>
    </row>
    <row r="96" spans="1:33" ht="20.25" customHeight="1" x14ac:dyDescent="0.2">
      <c r="A96" s="20">
        <f t="shared" si="38"/>
        <v>91</v>
      </c>
      <c r="B96" s="9"/>
      <c r="C96" s="10"/>
      <c r="D96" s="11"/>
      <c r="E96" s="12"/>
      <c r="F96" s="21"/>
      <c r="G96" s="14"/>
      <c r="H96" s="22"/>
      <c r="I96" s="62"/>
      <c r="J96" s="16">
        <v>1</v>
      </c>
      <c r="K96" s="16">
        <v>1</v>
      </c>
      <c r="L96" s="17">
        <v>0</v>
      </c>
      <c r="M96" s="12">
        <v>6</v>
      </c>
      <c r="N96" s="23"/>
      <c r="O96" s="24"/>
      <c r="P96" s="44">
        <f t="shared" si="34"/>
        <v>0</v>
      </c>
      <c r="Q96" s="47">
        <f>Q95+P96/60</f>
        <v>-1009769.6500000001</v>
      </c>
      <c r="R96" s="44">
        <f t="shared" si="30"/>
        <v>0</v>
      </c>
      <c r="S96" s="45">
        <f t="shared" si="31"/>
        <v>4059</v>
      </c>
      <c r="T96" s="46">
        <f t="shared" si="32"/>
        <v>0</v>
      </c>
      <c r="U96" s="52">
        <v>97.4</v>
      </c>
      <c r="V96" s="44">
        <f>(T96+R96)*U96/100</f>
        <v>0</v>
      </c>
      <c r="W96" s="47">
        <f>W95+V96/1000</f>
        <v>15.198201733937831</v>
      </c>
      <c r="X96" s="47">
        <f t="shared" si="35"/>
        <v>0.13780000000000003</v>
      </c>
      <c r="Y96" s="53">
        <f t="shared" si="36"/>
        <v>2.5999999999999999E-2</v>
      </c>
      <c r="Z96" s="47">
        <f t="shared" si="37"/>
        <v>0.13133080860215057</v>
      </c>
      <c r="AA96" s="47">
        <f>W96+Z96</f>
        <v>15.329532542539981</v>
      </c>
      <c r="AC96" s="51">
        <f t="shared" si="33"/>
        <v>0</v>
      </c>
    </row>
    <row r="97" spans="15:15" x14ac:dyDescent="0.2">
      <c r="O97" s="54"/>
    </row>
  </sheetData>
  <mergeCells count="22">
    <mergeCell ref="X4:Z4"/>
    <mergeCell ref="V4:W4"/>
    <mergeCell ref="P4:Q4"/>
    <mergeCell ref="R3:T3"/>
    <mergeCell ref="S4:T4"/>
    <mergeCell ref="A2:E2"/>
    <mergeCell ref="F2:H2"/>
    <mergeCell ref="J2:L2"/>
    <mergeCell ref="M2:N2"/>
    <mergeCell ref="A1:E1"/>
    <mergeCell ref="F1:H1"/>
    <mergeCell ref="J1:L1"/>
    <mergeCell ref="M1:O1"/>
    <mergeCell ref="B4:B5"/>
    <mergeCell ref="F4:G4"/>
    <mergeCell ref="D4:E4"/>
    <mergeCell ref="A3:O3"/>
    <mergeCell ref="A4:A5"/>
    <mergeCell ref="C4:C5"/>
    <mergeCell ref="J4:M4"/>
    <mergeCell ref="N4:N5"/>
    <mergeCell ref="O4:O5"/>
  </mergeCells>
  <printOptions horizontalCentered="1" verticalCentered="1"/>
  <pageMargins left="0.59055118110236227" right="0.59055118110236227" top="0.59055118110236227" bottom="0.59055118110236227" header="0.31496062992125984" footer="0.31496062992125984"/>
  <pageSetup paperSize="9" scale="7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45"/>
  <sheetViews>
    <sheetView topLeftCell="A23" workbookViewId="0">
      <selection activeCell="R22" sqref="R22"/>
    </sheetView>
  </sheetViews>
  <sheetFormatPr defaultColWidth="8.75" defaultRowHeight="12.75" x14ac:dyDescent="0.2"/>
  <sheetData>
    <row r="1" spans="1:14" x14ac:dyDescent="0.2">
      <c r="A1" s="55"/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</row>
    <row r="2" spans="1:14" x14ac:dyDescent="0.2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</row>
    <row r="3" spans="1:14" x14ac:dyDescent="0.2">
      <c r="A3" s="55"/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</row>
    <row r="4" spans="1:14" x14ac:dyDescent="0.2">
      <c r="A4" s="55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</row>
    <row r="5" spans="1:14" x14ac:dyDescent="0.2">
      <c r="A5" s="55"/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</row>
    <row r="6" spans="1:14" x14ac:dyDescent="0.2">
      <c r="A6" s="55"/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</row>
    <row r="7" spans="1:14" x14ac:dyDescent="0.2">
      <c r="A7" s="55"/>
      <c r="B7" s="55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</row>
    <row r="8" spans="1:14" x14ac:dyDescent="0.2">
      <c r="A8" s="55"/>
      <c r="B8" s="55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</row>
    <row r="9" spans="1:14" x14ac:dyDescent="0.2">
      <c r="A9" s="55"/>
      <c r="B9" s="55"/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</row>
    <row r="10" spans="1:14" x14ac:dyDescent="0.2">
      <c r="A10" s="55"/>
      <c r="B10" s="55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</row>
    <row r="11" spans="1:14" x14ac:dyDescent="0.2">
      <c r="A11" s="55"/>
      <c r="B11" s="55"/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</row>
    <row r="12" spans="1:14" x14ac:dyDescent="0.2">
      <c r="A12" s="55"/>
      <c r="B12" s="55"/>
      <c r="C12" s="55"/>
      <c r="D12" s="55"/>
      <c r="E12" s="55"/>
      <c r="F12" s="55"/>
      <c r="G12" s="55"/>
      <c r="H12" s="55"/>
      <c r="I12" s="55"/>
      <c r="J12" s="55"/>
      <c r="K12" s="55"/>
      <c r="L12" s="55"/>
      <c r="M12" s="55"/>
      <c r="N12" s="55"/>
    </row>
    <row r="13" spans="1:14" x14ac:dyDescent="0.2">
      <c r="A13" s="55"/>
      <c r="B13" s="55"/>
      <c r="C13" s="55"/>
      <c r="D13" s="55"/>
      <c r="E13" s="55"/>
      <c r="F13" s="55"/>
      <c r="G13" s="55"/>
      <c r="H13" s="55"/>
      <c r="I13" s="55"/>
      <c r="J13" s="55"/>
      <c r="K13" s="55"/>
      <c r="L13" s="55"/>
      <c r="M13" s="55"/>
      <c r="N13" s="55"/>
    </row>
    <row r="14" spans="1:14" x14ac:dyDescent="0.2">
      <c r="A14" s="55"/>
      <c r="B14" s="55"/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</row>
    <row r="15" spans="1:14" x14ac:dyDescent="0.2">
      <c r="A15" s="55"/>
      <c r="B15" s="55"/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</row>
    <row r="16" spans="1:14" x14ac:dyDescent="0.2">
      <c r="A16" s="55"/>
      <c r="B16" s="55"/>
      <c r="C16" s="55"/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5"/>
    </row>
    <row r="17" spans="1:14" x14ac:dyDescent="0.2">
      <c r="A17" s="55"/>
      <c r="B17" s="55"/>
      <c r="C17" s="55"/>
      <c r="D17" s="55"/>
      <c r="E17" s="55"/>
      <c r="F17" s="55"/>
      <c r="G17" s="55"/>
      <c r="H17" s="55"/>
      <c r="I17" s="55"/>
      <c r="J17" s="55"/>
      <c r="K17" s="55"/>
      <c r="L17" s="55"/>
      <c r="M17" s="55"/>
      <c r="N17" s="55"/>
    </row>
    <row r="18" spans="1:14" x14ac:dyDescent="0.2">
      <c r="A18" s="55"/>
      <c r="B18" s="55"/>
      <c r="C18" s="55"/>
      <c r="D18" s="55"/>
      <c r="E18" s="55"/>
      <c r="F18" s="55"/>
      <c r="G18" s="55"/>
      <c r="H18" s="55"/>
      <c r="I18" s="55"/>
      <c r="J18" s="55"/>
      <c r="K18" s="55"/>
      <c r="L18" s="55"/>
      <c r="M18" s="55"/>
      <c r="N18" s="55"/>
    </row>
    <row r="19" spans="1:14" x14ac:dyDescent="0.2">
      <c r="A19" s="55"/>
      <c r="B19" s="55"/>
      <c r="C19" s="55"/>
      <c r="D19" s="55"/>
      <c r="E19" s="55"/>
      <c r="F19" s="55"/>
      <c r="G19" s="55"/>
      <c r="H19" s="55"/>
      <c r="I19" s="55"/>
      <c r="J19" s="55"/>
      <c r="K19" s="55"/>
      <c r="L19" s="55"/>
      <c r="M19" s="55"/>
      <c r="N19" s="55"/>
    </row>
    <row r="20" spans="1:14" x14ac:dyDescent="0.2">
      <c r="A20" s="55"/>
      <c r="B20" s="55"/>
      <c r="C20" s="55"/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55"/>
    </row>
    <row r="21" spans="1:14" x14ac:dyDescent="0.2">
      <c r="A21" s="55"/>
      <c r="B21" s="55"/>
      <c r="C21" s="55"/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55"/>
    </row>
    <row r="22" spans="1:14" x14ac:dyDescent="0.2">
      <c r="A22" s="55"/>
      <c r="B22" s="55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</row>
    <row r="23" spans="1:14" x14ac:dyDescent="0.2">
      <c r="A23" s="55"/>
      <c r="B23" s="55"/>
      <c r="C23" s="55"/>
      <c r="D23" s="55"/>
      <c r="E23" s="55"/>
      <c r="F23" s="55"/>
      <c r="G23" s="55"/>
      <c r="H23" s="55"/>
      <c r="I23" s="55"/>
      <c r="J23" s="55"/>
      <c r="K23" s="55"/>
      <c r="L23" s="55"/>
      <c r="M23" s="55"/>
      <c r="N23" s="55"/>
    </row>
    <row r="24" spans="1:14" x14ac:dyDescent="0.2">
      <c r="A24" s="55"/>
      <c r="B24" s="55"/>
      <c r="C24" s="55"/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5"/>
    </row>
    <row r="25" spans="1:14" x14ac:dyDescent="0.2">
      <c r="A25" s="55"/>
      <c r="B25" s="55"/>
      <c r="C25" s="55"/>
      <c r="D25" s="55"/>
      <c r="E25" s="55"/>
      <c r="F25" s="55"/>
      <c r="G25" s="55"/>
      <c r="H25" s="55"/>
      <c r="I25" s="55"/>
      <c r="J25" s="55"/>
      <c r="K25" s="55"/>
      <c r="L25" s="55"/>
      <c r="M25" s="55"/>
      <c r="N25" s="55"/>
    </row>
    <row r="26" spans="1:14" x14ac:dyDescent="0.2">
      <c r="A26" s="55"/>
      <c r="B26" s="55"/>
      <c r="C26" s="55"/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/>
    </row>
    <row r="27" spans="1:14" x14ac:dyDescent="0.2">
      <c r="A27" s="55"/>
      <c r="B27" s="55"/>
      <c r="C27" s="55"/>
      <c r="D27" s="55"/>
      <c r="E27" s="55"/>
      <c r="F27" s="55"/>
      <c r="G27" s="55"/>
      <c r="H27" s="55"/>
      <c r="I27" s="55"/>
      <c r="J27" s="55"/>
      <c r="K27" s="55"/>
      <c r="L27" s="55"/>
      <c r="M27" s="55"/>
      <c r="N27" s="55"/>
    </row>
    <row r="28" spans="1:14" x14ac:dyDescent="0.2">
      <c r="A28" s="55"/>
      <c r="B28" s="55"/>
      <c r="C28" s="55"/>
      <c r="D28" s="55"/>
      <c r="E28" s="55"/>
      <c r="F28" s="55"/>
      <c r="G28" s="55"/>
      <c r="H28" s="55"/>
      <c r="I28" s="55"/>
      <c r="J28" s="55"/>
      <c r="K28" s="55"/>
      <c r="L28" s="55"/>
      <c r="M28" s="55"/>
      <c r="N28" s="55"/>
    </row>
    <row r="29" spans="1:14" x14ac:dyDescent="0.2">
      <c r="A29" s="55"/>
      <c r="B29" s="55"/>
      <c r="C29" s="55"/>
      <c r="D29" s="55"/>
      <c r="E29" s="55"/>
      <c r="F29" s="55"/>
      <c r="G29" s="55"/>
      <c r="H29" s="55"/>
      <c r="I29" s="55"/>
      <c r="J29" s="55"/>
      <c r="K29" s="55"/>
      <c r="L29" s="55"/>
      <c r="M29" s="55"/>
      <c r="N29" s="55"/>
    </row>
    <row r="30" spans="1:14" x14ac:dyDescent="0.2">
      <c r="A30" s="55"/>
      <c r="B30" s="55"/>
      <c r="C30" s="55"/>
      <c r="D30" s="55"/>
      <c r="E30" s="55"/>
      <c r="F30" s="55"/>
      <c r="G30" s="55"/>
      <c r="H30" s="55"/>
      <c r="I30" s="55"/>
      <c r="J30" s="55"/>
      <c r="K30" s="55"/>
      <c r="L30" s="55"/>
      <c r="M30" s="55"/>
      <c r="N30" s="55"/>
    </row>
    <row r="31" spans="1:14" x14ac:dyDescent="0.2">
      <c r="A31" s="55"/>
      <c r="B31" s="55"/>
      <c r="C31" s="55"/>
      <c r="D31" s="55"/>
      <c r="E31" s="55"/>
      <c r="F31" s="55"/>
      <c r="G31" s="55"/>
      <c r="H31" s="55"/>
      <c r="I31" s="55"/>
      <c r="J31" s="55"/>
      <c r="K31" s="55"/>
      <c r="L31" s="55"/>
      <c r="M31" s="55"/>
      <c r="N31" s="55"/>
    </row>
    <row r="32" spans="1:14" x14ac:dyDescent="0.2">
      <c r="A32" s="55"/>
      <c r="B32" s="55"/>
      <c r="C32" s="55"/>
      <c r="D32" s="55"/>
      <c r="E32" s="55"/>
      <c r="F32" s="55"/>
      <c r="G32" s="55"/>
      <c r="H32" s="55"/>
      <c r="I32" s="55"/>
      <c r="J32" s="55"/>
      <c r="K32" s="55"/>
      <c r="L32" s="55"/>
      <c r="M32" s="55"/>
      <c r="N32" s="55"/>
    </row>
    <row r="33" spans="1:14" x14ac:dyDescent="0.2">
      <c r="A33" s="55"/>
      <c r="B33" s="55"/>
      <c r="C33" s="55"/>
      <c r="D33" s="55"/>
      <c r="E33" s="55"/>
      <c r="F33" s="55"/>
      <c r="G33" s="55"/>
      <c r="H33" s="55"/>
      <c r="I33" s="55"/>
      <c r="J33" s="55"/>
      <c r="K33" s="55"/>
      <c r="L33" s="55"/>
      <c r="M33" s="55"/>
      <c r="N33" s="55"/>
    </row>
    <row r="34" spans="1:14" x14ac:dyDescent="0.2">
      <c r="A34" s="55"/>
      <c r="B34" s="55"/>
      <c r="C34" s="55"/>
      <c r="D34" s="55"/>
      <c r="E34" s="55"/>
      <c r="F34" s="55"/>
      <c r="G34" s="55"/>
      <c r="H34" s="55"/>
      <c r="I34" s="55"/>
      <c r="J34" s="55"/>
      <c r="K34" s="55"/>
      <c r="L34" s="55"/>
      <c r="M34" s="55"/>
      <c r="N34" s="55"/>
    </row>
    <row r="35" spans="1:14" x14ac:dyDescent="0.2">
      <c r="A35" s="55"/>
      <c r="B35" s="55"/>
      <c r="C35" s="55"/>
      <c r="D35" s="55"/>
      <c r="E35" s="55"/>
      <c r="F35" s="55"/>
      <c r="G35" s="55"/>
      <c r="H35" s="55"/>
      <c r="I35" s="55"/>
      <c r="J35" s="55"/>
      <c r="K35" s="55"/>
      <c r="L35" s="55"/>
      <c r="M35" s="55"/>
      <c r="N35" s="55"/>
    </row>
    <row r="36" spans="1:14" x14ac:dyDescent="0.2">
      <c r="A36" s="55"/>
      <c r="B36" s="55"/>
      <c r="C36" s="55"/>
      <c r="D36" s="55"/>
      <c r="E36" s="55"/>
      <c r="F36" s="55"/>
      <c r="G36" s="55"/>
      <c r="H36" s="55"/>
      <c r="I36" s="55"/>
      <c r="J36" s="55"/>
      <c r="K36" s="55"/>
      <c r="L36" s="55"/>
      <c r="M36" s="55"/>
      <c r="N36" s="55"/>
    </row>
    <row r="37" spans="1:14" x14ac:dyDescent="0.2">
      <c r="A37" s="55"/>
      <c r="B37" s="55"/>
      <c r="C37" s="55"/>
      <c r="D37" s="55"/>
      <c r="E37" s="55"/>
      <c r="F37" s="55"/>
      <c r="G37" s="55"/>
      <c r="H37" s="55"/>
      <c r="I37" s="55"/>
      <c r="J37" s="55"/>
      <c r="K37" s="55"/>
      <c r="L37" s="55"/>
      <c r="M37" s="55"/>
      <c r="N37" s="55"/>
    </row>
    <row r="38" spans="1:14" x14ac:dyDescent="0.2">
      <c r="A38" s="55"/>
      <c r="B38" s="55"/>
      <c r="C38" s="55"/>
      <c r="D38" s="55"/>
      <c r="E38" s="55"/>
      <c r="F38" s="55"/>
      <c r="G38" s="55"/>
      <c r="H38" s="55"/>
      <c r="I38" s="55"/>
      <c r="J38" s="55"/>
      <c r="K38" s="55"/>
      <c r="L38" s="55"/>
      <c r="M38" s="55"/>
      <c r="N38" s="55"/>
    </row>
    <row r="39" spans="1:14" x14ac:dyDescent="0.2">
      <c r="A39" s="55"/>
      <c r="B39" s="55"/>
      <c r="C39" s="55"/>
      <c r="D39" s="55"/>
      <c r="E39" s="55"/>
      <c r="F39" s="55"/>
      <c r="G39" s="55"/>
      <c r="H39" s="55"/>
      <c r="I39" s="55"/>
      <c r="J39" s="55"/>
      <c r="K39" s="55"/>
      <c r="L39" s="55"/>
      <c r="M39" s="55"/>
      <c r="N39" s="55"/>
    </row>
    <row r="40" spans="1:14" x14ac:dyDescent="0.2">
      <c r="A40" s="55"/>
      <c r="B40" s="55"/>
      <c r="C40" s="55"/>
      <c r="D40" s="55"/>
      <c r="E40" s="55"/>
      <c r="F40" s="55"/>
      <c r="G40" s="55"/>
      <c r="H40" s="55"/>
      <c r="I40" s="55"/>
      <c r="J40" s="55"/>
      <c r="K40" s="55"/>
      <c r="L40" s="55"/>
      <c r="M40" s="55"/>
      <c r="N40" s="55"/>
    </row>
    <row r="41" spans="1:14" x14ac:dyDescent="0.2">
      <c r="A41" s="55"/>
      <c r="B41" s="55"/>
      <c r="C41" s="55"/>
      <c r="D41" s="55"/>
      <c r="E41" s="55"/>
      <c r="F41" s="55"/>
      <c r="G41" s="55"/>
      <c r="H41" s="55"/>
      <c r="I41" s="55"/>
      <c r="J41" s="55"/>
      <c r="K41" s="55"/>
      <c r="L41" s="55"/>
      <c r="M41" s="55"/>
      <c r="N41" s="55"/>
    </row>
    <row r="42" spans="1:14" x14ac:dyDescent="0.2">
      <c r="A42" s="55"/>
      <c r="B42" s="55"/>
      <c r="C42" s="55"/>
      <c r="D42" s="55"/>
      <c r="E42" s="55"/>
      <c r="F42" s="55"/>
      <c r="G42" s="55"/>
      <c r="H42" s="55"/>
      <c r="I42" s="55"/>
      <c r="J42" s="55"/>
      <c r="K42" s="55"/>
      <c r="L42" s="55"/>
      <c r="M42" s="55"/>
      <c r="N42" s="55"/>
    </row>
    <row r="43" spans="1:14" x14ac:dyDescent="0.2">
      <c r="A43" s="55"/>
      <c r="B43" s="55"/>
      <c r="C43" s="55"/>
      <c r="D43" s="55"/>
      <c r="E43" s="55"/>
      <c r="F43" s="55"/>
      <c r="G43" s="55"/>
      <c r="H43" s="55"/>
      <c r="I43" s="55"/>
      <c r="J43" s="55"/>
      <c r="K43" s="55"/>
      <c r="L43" s="55"/>
      <c r="M43" s="55"/>
      <c r="N43" s="55"/>
    </row>
    <row r="44" spans="1:14" x14ac:dyDescent="0.2">
      <c r="A44" s="55"/>
      <c r="B44" s="55"/>
      <c r="C44" s="55"/>
      <c r="D44" s="55"/>
      <c r="E44" s="55"/>
      <c r="F44" s="55"/>
      <c r="G44" s="55"/>
      <c r="H44" s="55"/>
      <c r="I44" s="55"/>
      <c r="J44" s="55"/>
      <c r="K44" s="55"/>
      <c r="L44" s="55"/>
      <c r="M44" s="55"/>
      <c r="N44" s="55"/>
    </row>
    <row r="45" spans="1:14" x14ac:dyDescent="0.2">
      <c r="A45" s="55"/>
      <c r="B45" s="55"/>
      <c r="C45" s="55"/>
      <c r="D45" s="55"/>
      <c r="E45" s="55"/>
      <c r="F45" s="55"/>
      <c r="G45" s="55"/>
      <c r="H45" s="55"/>
      <c r="I45" s="55"/>
      <c r="J45" s="55"/>
      <c r="K45" s="55"/>
      <c r="L45" s="55"/>
      <c r="M45" s="55"/>
      <c r="N45" s="55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45"/>
  <sheetViews>
    <sheetView topLeftCell="A16" workbookViewId="0">
      <selection activeCell="F44" sqref="F44"/>
    </sheetView>
  </sheetViews>
  <sheetFormatPr defaultColWidth="8.75" defaultRowHeight="12.75" x14ac:dyDescent="0.2"/>
  <sheetData>
    <row r="1" spans="1:14" x14ac:dyDescent="0.2">
      <c r="A1" s="55"/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</row>
    <row r="2" spans="1:14" x14ac:dyDescent="0.2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</row>
    <row r="3" spans="1:14" x14ac:dyDescent="0.2">
      <c r="A3" s="55"/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</row>
    <row r="4" spans="1:14" x14ac:dyDescent="0.2">
      <c r="A4" s="55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</row>
    <row r="5" spans="1:14" x14ac:dyDescent="0.2">
      <c r="A5" s="55"/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</row>
    <row r="6" spans="1:14" x14ac:dyDescent="0.2">
      <c r="A6" s="55"/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</row>
    <row r="7" spans="1:14" x14ac:dyDescent="0.2">
      <c r="A7" s="55"/>
      <c r="B7" s="55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</row>
    <row r="8" spans="1:14" x14ac:dyDescent="0.2">
      <c r="A8" s="55"/>
      <c r="B8" s="55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</row>
    <row r="9" spans="1:14" x14ac:dyDescent="0.2">
      <c r="A9" s="55"/>
      <c r="B9" s="55"/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</row>
    <row r="10" spans="1:14" x14ac:dyDescent="0.2">
      <c r="A10" s="55"/>
      <c r="B10" s="55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</row>
    <row r="11" spans="1:14" x14ac:dyDescent="0.2">
      <c r="A11" s="55"/>
      <c r="B11" s="55"/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</row>
    <row r="12" spans="1:14" x14ac:dyDescent="0.2">
      <c r="A12" s="55"/>
      <c r="B12" s="55"/>
      <c r="C12" s="55"/>
      <c r="D12" s="55"/>
      <c r="E12" s="55"/>
      <c r="F12" s="55"/>
      <c r="G12" s="55"/>
      <c r="H12" s="55"/>
      <c r="I12" s="55"/>
      <c r="J12" s="55"/>
      <c r="K12" s="55"/>
      <c r="L12" s="55"/>
      <c r="M12" s="55"/>
      <c r="N12" s="55"/>
    </row>
    <row r="13" spans="1:14" x14ac:dyDescent="0.2">
      <c r="A13" s="55"/>
      <c r="B13" s="55"/>
      <c r="C13" s="55"/>
      <c r="D13" s="55"/>
      <c r="E13" s="55"/>
      <c r="F13" s="55"/>
      <c r="G13" s="55"/>
      <c r="H13" s="55"/>
      <c r="I13" s="55"/>
      <c r="J13" s="55"/>
      <c r="K13" s="55"/>
      <c r="L13" s="55"/>
      <c r="M13" s="55"/>
      <c r="N13" s="55"/>
    </row>
    <row r="14" spans="1:14" x14ac:dyDescent="0.2">
      <c r="A14" s="55"/>
      <c r="B14" s="55"/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</row>
    <row r="15" spans="1:14" x14ac:dyDescent="0.2">
      <c r="A15" s="55"/>
      <c r="B15" s="55"/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</row>
    <row r="16" spans="1:14" x14ac:dyDescent="0.2">
      <c r="A16" s="55"/>
      <c r="B16" s="55"/>
      <c r="C16" s="55"/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5"/>
    </row>
    <row r="17" spans="1:14" x14ac:dyDescent="0.2">
      <c r="A17" s="55"/>
      <c r="B17" s="55"/>
      <c r="C17" s="55"/>
      <c r="D17" s="55"/>
      <c r="E17" s="55"/>
      <c r="F17" s="55"/>
      <c r="G17" s="55"/>
      <c r="H17" s="55"/>
      <c r="I17" s="55"/>
      <c r="J17" s="55"/>
      <c r="K17" s="55"/>
      <c r="L17" s="55"/>
      <c r="M17" s="55"/>
      <c r="N17" s="55"/>
    </row>
    <row r="18" spans="1:14" x14ac:dyDescent="0.2">
      <c r="A18" s="55"/>
      <c r="B18" s="55"/>
      <c r="C18" s="55"/>
      <c r="D18" s="55"/>
      <c r="E18" s="55"/>
      <c r="F18" s="55"/>
      <c r="G18" s="55"/>
      <c r="H18" s="55"/>
      <c r="I18" s="55"/>
      <c r="J18" s="55"/>
      <c r="K18" s="55"/>
      <c r="L18" s="55"/>
      <c r="M18" s="55"/>
      <c r="N18" s="55"/>
    </row>
    <row r="19" spans="1:14" x14ac:dyDescent="0.2">
      <c r="A19" s="55"/>
      <c r="B19" s="55"/>
      <c r="C19" s="55"/>
      <c r="D19" s="55"/>
      <c r="E19" s="55"/>
      <c r="F19" s="55"/>
      <c r="G19" s="55"/>
      <c r="H19" s="55"/>
      <c r="I19" s="55"/>
      <c r="J19" s="55"/>
      <c r="K19" s="55"/>
      <c r="L19" s="55"/>
      <c r="M19" s="55"/>
      <c r="N19" s="55"/>
    </row>
    <row r="20" spans="1:14" x14ac:dyDescent="0.2">
      <c r="A20" s="55"/>
      <c r="B20" s="55"/>
      <c r="C20" s="55"/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55"/>
    </row>
    <row r="21" spans="1:14" x14ac:dyDescent="0.2">
      <c r="A21" s="55"/>
      <c r="B21" s="55"/>
      <c r="C21" s="55"/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55"/>
    </row>
    <row r="22" spans="1:14" x14ac:dyDescent="0.2">
      <c r="A22" s="55"/>
      <c r="B22" s="55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</row>
    <row r="23" spans="1:14" x14ac:dyDescent="0.2">
      <c r="A23" s="55"/>
      <c r="B23" s="55"/>
      <c r="C23" s="55"/>
      <c r="D23" s="55"/>
      <c r="E23" s="55"/>
      <c r="F23" s="55"/>
      <c r="G23" s="55"/>
      <c r="H23" s="55"/>
      <c r="I23" s="55"/>
      <c r="J23" s="55"/>
      <c r="K23" s="55"/>
      <c r="L23" s="55"/>
      <c r="M23" s="55"/>
      <c r="N23" s="55"/>
    </row>
    <row r="24" spans="1:14" x14ac:dyDescent="0.2">
      <c r="A24" s="55"/>
      <c r="B24" s="55"/>
      <c r="C24" s="55"/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5"/>
    </row>
    <row r="25" spans="1:14" x14ac:dyDescent="0.2">
      <c r="A25" s="55"/>
      <c r="B25" s="55"/>
      <c r="C25" s="55"/>
      <c r="D25" s="55"/>
      <c r="E25" s="55"/>
      <c r="F25" s="55"/>
      <c r="G25" s="55"/>
      <c r="H25" s="55"/>
      <c r="I25" s="55"/>
      <c r="J25" s="55"/>
      <c r="K25" s="55"/>
      <c r="L25" s="55"/>
      <c r="M25" s="55"/>
      <c r="N25" s="55"/>
    </row>
    <row r="26" spans="1:14" x14ac:dyDescent="0.2">
      <c r="A26" s="55"/>
      <c r="B26" s="55"/>
      <c r="C26" s="55"/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/>
    </row>
    <row r="27" spans="1:14" x14ac:dyDescent="0.2">
      <c r="A27" s="55"/>
      <c r="B27" s="55"/>
      <c r="C27" s="55"/>
      <c r="D27" s="55"/>
      <c r="E27" s="55"/>
      <c r="F27" s="55"/>
      <c r="G27" s="55"/>
      <c r="H27" s="55"/>
      <c r="I27" s="55"/>
      <c r="J27" s="55"/>
      <c r="K27" s="55"/>
      <c r="L27" s="55"/>
      <c r="M27" s="55"/>
      <c r="N27" s="55"/>
    </row>
    <row r="28" spans="1:14" x14ac:dyDescent="0.2">
      <c r="A28" s="55"/>
      <c r="B28" s="55"/>
      <c r="C28" s="55"/>
      <c r="D28" s="55"/>
      <c r="E28" s="55"/>
      <c r="F28" s="55"/>
      <c r="G28" s="55"/>
      <c r="H28" s="55"/>
      <c r="I28" s="55"/>
      <c r="J28" s="55"/>
      <c r="K28" s="55"/>
      <c r="L28" s="55"/>
      <c r="M28" s="55"/>
      <c r="N28" s="55"/>
    </row>
    <row r="29" spans="1:14" x14ac:dyDescent="0.2">
      <c r="A29" s="55"/>
      <c r="B29" s="55"/>
      <c r="C29" s="55"/>
      <c r="D29" s="55"/>
      <c r="E29" s="55"/>
      <c r="F29" s="55"/>
      <c r="G29" s="55"/>
      <c r="H29" s="55"/>
      <c r="I29" s="55"/>
      <c r="J29" s="55"/>
      <c r="K29" s="55"/>
      <c r="L29" s="55"/>
      <c r="M29" s="55"/>
      <c r="N29" s="55"/>
    </row>
    <row r="30" spans="1:14" x14ac:dyDescent="0.2">
      <c r="A30" s="55"/>
      <c r="B30" s="55"/>
      <c r="C30" s="55"/>
      <c r="D30" s="55"/>
      <c r="E30" s="55"/>
      <c r="F30" s="55"/>
      <c r="G30" s="55"/>
      <c r="H30" s="55"/>
      <c r="I30" s="55"/>
      <c r="J30" s="55"/>
      <c r="K30" s="55"/>
      <c r="L30" s="55"/>
      <c r="M30" s="55"/>
      <c r="N30" s="55"/>
    </row>
    <row r="31" spans="1:14" x14ac:dyDescent="0.2">
      <c r="A31" s="55"/>
      <c r="B31" s="55"/>
      <c r="C31" s="55"/>
      <c r="D31" s="55"/>
      <c r="E31" s="55"/>
      <c r="F31" s="55"/>
      <c r="G31" s="55"/>
      <c r="H31" s="55"/>
      <c r="I31" s="55"/>
      <c r="J31" s="55"/>
      <c r="K31" s="55"/>
      <c r="L31" s="55"/>
      <c r="M31" s="55"/>
      <c r="N31" s="55"/>
    </row>
    <row r="32" spans="1:14" x14ac:dyDescent="0.2">
      <c r="A32" s="55"/>
      <c r="B32" s="55"/>
      <c r="C32" s="55"/>
      <c r="D32" s="55"/>
      <c r="E32" s="55"/>
      <c r="F32" s="55"/>
      <c r="G32" s="55"/>
      <c r="H32" s="55"/>
      <c r="I32" s="55"/>
      <c r="J32" s="55"/>
      <c r="K32" s="55"/>
      <c r="L32" s="55"/>
      <c r="M32" s="55"/>
      <c r="N32" s="55"/>
    </row>
    <row r="33" spans="1:14" x14ac:dyDescent="0.2">
      <c r="A33" s="55"/>
      <c r="B33" s="55"/>
      <c r="C33" s="55"/>
      <c r="D33" s="55"/>
      <c r="E33" s="55"/>
      <c r="F33" s="55"/>
      <c r="G33" s="55"/>
      <c r="H33" s="55"/>
      <c r="I33" s="55"/>
      <c r="J33" s="55"/>
      <c r="K33" s="55"/>
      <c r="L33" s="55"/>
      <c r="M33" s="55"/>
      <c r="N33" s="55"/>
    </row>
    <row r="34" spans="1:14" x14ac:dyDescent="0.2">
      <c r="A34" s="55"/>
      <c r="B34" s="55"/>
      <c r="C34" s="55"/>
      <c r="D34" s="55"/>
      <c r="E34" s="55"/>
      <c r="F34" s="55"/>
      <c r="G34" s="55"/>
      <c r="H34" s="55"/>
      <c r="I34" s="55"/>
      <c r="J34" s="55"/>
      <c r="K34" s="55"/>
      <c r="L34" s="55"/>
      <c r="M34" s="55"/>
      <c r="N34" s="55"/>
    </row>
    <row r="35" spans="1:14" x14ac:dyDescent="0.2">
      <c r="A35" s="55"/>
      <c r="B35" s="55"/>
      <c r="C35" s="55"/>
      <c r="D35" s="55"/>
      <c r="E35" s="55"/>
      <c r="F35" s="55"/>
      <c r="G35" s="55"/>
      <c r="H35" s="55"/>
      <c r="I35" s="55"/>
      <c r="J35" s="55"/>
      <c r="K35" s="55"/>
      <c r="L35" s="55"/>
      <c r="M35" s="55"/>
      <c r="N35" s="55"/>
    </row>
    <row r="36" spans="1:14" x14ac:dyDescent="0.2">
      <c r="A36" s="55"/>
      <c r="B36" s="55"/>
      <c r="C36" s="55"/>
      <c r="D36" s="55"/>
      <c r="E36" s="55"/>
      <c r="F36" s="55"/>
      <c r="G36" s="55"/>
      <c r="H36" s="55"/>
      <c r="I36" s="55"/>
      <c r="J36" s="55"/>
      <c r="K36" s="55"/>
      <c r="L36" s="55"/>
      <c r="M36" s="55"/>
      <c r="N36" s="55"/>
    </row>
    <row r="37" spans="1:14" x14ac:dyDescent="0.2">
      <c r="A37" s="55"/>
      <c r="B37" s="55"/>
      <c r="C37" s="55"/>
      <c r="D37" s="55"/>
      <c r="E37" s="55"/>
      <c r="F37" s="55"/>
      <c r="G37" s="55"/>
      <c r="H37" s="55"/>
      <c r="I37" s="55"/>
      <c r="J37" s="55"/>
      <c r="K37" s="55"/>
      <c r="L37" s="55"/>
      <c r="M37" s="55"/>
      <c r="N37" s="55"/>
    </row>
    <row r="38" spans="1:14" x14ac:dyDescent="0.2">
      <c r="A38" s="55"/>
      <c r="B38" s="55"/>
      <c r="C38" s="55"/>
      <c r="D38" s="55"/>
      <c r="E38" s="55"/>
      <c r="F38" s="55"/>
      <c r="G38" s="55"/>
      <c r="H38" s="55"/>
      <c r="I38" s="55"/>
      <c r="J38" s="55"/>
      <c r="K38" s="55"/>
      <c r="L38" s="55"/>
      <c r="M38" s="55"/>
      <c r="N38" s="55"/>
    </row>
    <row r="39" spans="1:14" x14ac:dyDescent="0.2">
      <c r="A39" s="55"/>
      <c r="B39" s="55"/>
      <c r="C39" s="55"/>
      <c r="D39" s="55"/>
      <c r="E39" s="55"/>
      <c r="F39" s="55"/>
      <c r="G39" s="55"/>
      <c r="H39" s="55"/>
      <c r="I39" s="55"/>
      <c r="J39" s="55"/>
      <c r="K39" s="55"/>
      <c r="L39" s="55"/>
      <c r="M39" s="55"/>
      <c r="N39" s="55"/>
    </row>
    <row r="40" spans="1:14" x14ac:dyDescent="0.2">
      <c r="A40" s="55"/>
      <c r="B40" s="55"/>
      <c r="C40" s="55"/>
      <c r="D40" s="55"/>
      <c r="E40" s="55"/>
      <c r="F40" s="55"/>
      <c r="G40" s="55"/>
      <c r="H40" s="55"/>
      <c r="I40" s="55"/>
      <c r="J40" s="55"/>
      <c r="K40" s="55"/>
      <c r="L40" s="55"/>
      <c r="M40" s="55"/>
      <c r="N40" s="55"/>
    </row>
    <row r="41" spans="1:14" x14ac:dyDescent="0.2">
      <c r="A41" s="55"/>
      <c r="B41" s="55"/>
      <c r="C41" s="55"/>
      <c r="D41" s="55"/>
      <c r="E41" s="55"/>
      <c r="F41" s="55"/>
      <c r="G41" s="55"/>
      <c r="H41" s="55"/>
      <c r="I41" s="55"/>
      <c r="J41" s="55"/>
      <c r="K41" s="55"/>
      <c r="L41" s="55"/>
      <c r="M41" s="55"/>
      <c r="N41" s="55"/>
    </row>
    <row r="42" spans="1:14" x14ac:dyDescent="0.2">
      <c r="A42" s="55"/>
      <c r="B42" s="55"/>
      <c r="C42" s="55"/>
      <c r="D42" s="55"/>
      <c r="E42" s="55"/>
      <c r="F42" s="55"/>
      <c r="G42" s="55"/>
      <c r="H42" s="55"/>
      <c r="I42" s="55"/>
      <c r="J42" s="55"/>
      <c r="K42" s="55"/>
      <c r="L42" s="55"/>
      <c r="M42" s="55"/>
      <c r="N42" s="55"/>
    </row>
    <row r="43" spans="1:14" x14ac:dyDescent="0.2">
      <c r="A43" s="55"/>
      <c r="B43" s="55"/>
      <c r="C43" s="55"/>
      <c r="D43" s="55"/>
      <c r="E43" s="55"/>
      <c r="F43" s="55"/>
      <c r="G43" s="55"/>
      <c r="H43" s="55"/>
      <c r="I43" s="55"/>
      <c r="J43" s="55"/>
      <c r="K43" s="55"/>
      <c r="L43" s="55"/>
      <c r="M43" s="55"/>
      <c r="N43" s="55"/>
    </row>
    <row r="44" spans="1:14" x14ac:dyDescent="0.2">
      <c r="A44" s="55"/>
      <c r="B44" s="55"/>
      <c r="C44" s="55"/>
      <c r="D44" s="55"/>
      <c r="E44" s="55"/>
      <c r="F44" s="55"/>
      <c r="G44" s="55"/>
      <c r="H44" s="55"/>
      <c r="I44" s="55"/>
      <c r="J44" s="55"/>
      <c r="K44" s="55"/>
      <c r="L44" s="55"/>
      <c r="M44" s="55"/>
      <c r="N44" s="55"/>
    </row>
    <row r="45" spans="1:14" x14ac:dyDescent="0.2">
      <c r="A45" s="55"/>
      <c r="B45" s="55"/>
      <c r="C45" s="55"/>
      <c r="D45" s="55"/>
      <c r="E45" s="55"/>
      <c r="F45" s="55"/>
      <c r="G45" s="55"/>
      <c r="H45" s="55"/>
      <c r="I45" s="55"/>
      <c r="J45" s="55"/>
      <c r="K45" s="55"/>
      <c r="L45" s="55"/>
      <c r="M45" s="55"/>
      <c r="N45" s="55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topLeftCell="A13" workbookViewId="0">
      <selection activeCell="R10" sqref="R10:R11"/>
    </sheetView>
  </sheetViews>
  <sheetFormatPr defaultColWidth="8.75" defaultRowHeight="12.75" x14ac:dyDescent="0.2"/>
  <sheetData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579B48AB615AE44A82503FEE813A249" ma:contentTypeVersion="0" ma:contentTypeDescription="Create a new document." ma:contentTypeScope="" ma:versionID="8be41fd001069d3a45d9e64d81068a5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b05d82d297216baf5b26c55225140d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BFEC70F-DDD6-4FDC-9DEF-4F48AB0A24EC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32F7A2A-CF0F-48C1-B600-C2EF9B18E1B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38769B-D055-436E-90D1-321B897E24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UT-GOM2-1-H005-6FB-2 21.5-41.5</vt:lpstr>
      <vt:lpstr>graph-sampling</vt:lpstr>
      <vt:lpstr>graph-sampling (2)</vt:lpstr>
      <vt:lpstr>graph</vt:lpstr>
    </vt:vector>
  </TitlesOfParts>
  <Company>Geotek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Steve Phillips</cp:lastModifiedBy>
  <cp:lastPrinted>2017-05-08T14:45:57Z</cp:lastPrinted>
  <dcterms:created xsi:type="dcterms:W3CDTF">2012-06-25T14:59:26Z</dcterms:created>
  <dcterms:modified xsi:type="dcterms:W3CDTF">2019-05-29T18:29:46Z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0x0101005579B48AB615AE44A82503FEE813A249</vt:lpwstr>
  </property>
</Properties>
</file>