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date1904="1" showInkAnnotation="0" codeName="ThisWorkbook" autoCompressPictures="0"/>
  <bookViews>
    <workbookView xWindow="18600" yWindow="5720" windowWidth="26660" windowHeight="16480" tabRatio="623" activeTab="2"/>
  </bookViews>
  <sheets>
    <sheet name="UT-GOM2-1-H005-11FB-1" sheetId="27" r:id="rId1"/>
    <sheet name="UT-GOM2-1-H005-11FB-1 table" sheetId="30" r:id="rId2"/>
    <sheet name="graph" sheetId="31" r:id="rId3"/>
  </sheets>
  <definedNames>
    <definedName name="_xlnm.Print_Area" localSheetId="0">'UT-GOM2-1-H005-11FB-1'!#REF!</definedName>
    <definedName name="_xlnm.Print_Area" localSheetId="1">'UT-GOM2-1-H005-11FB-1 table'!$A$1:$I$17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7" i="27" l="1"/>
  <c r="T16" i="27"/>
  <c r="T15" i="27"/>
  <c r="T14" i="27"/>
  <c r="T13" i="27"/>
  <c r="T12" i="27"/>
  <c r="T11" i="27"/>
  <c r="T10" i="27"/>
  <c r="T9" i="27"/>
  <c r="T8" i="27"/>
  <c r="T7" i="27"/>
  <c r="T6" i="27"/>
  <c r="T18" i="27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7" i="27"/>
  <c r="Y7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6" i="27"/>
  <c r="N2" i="27"/>
  <c r="R7" i="27"/>
  <c r="R6" i="27"/>
  <c r="R8" i="27"/>
  <c r="R9" i="27"/>
  <c r="R14" i="27"/>
  <c r="R18" i="27"/>
  <c r="W6" i="27"/>
  <c r="Y6" i="27"/>
  <c r="W7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O19" i="27"/>
  <c r="O7" i="27"/>
  <c r="P7" i="27"/>
  <c r="O8" i="27"/>
  <c r="O9" i="27"/>
  <c r="O10" i="27"/>
  <c r="O11" i="27"/>
  <c r="O12" i="27"/>
  <c r="O13" i="27"/>
  <c r="O14" i="27"/>
  <c r="O15" i="27"/>
  <c r="O16" i="27"/>
  <c r="O17" i="27"/>
  <c r="O18" i="27"/>
  <c r="S6" i="27"/>
  <c r="Q6" i="27"/>
  <c r="U6" i="27"/>
  <c r="V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U16" i="27"/>
  <c r="Q16" i="27"/>
  <c r="S17" i="27"/>
  <c r="Q17" i="27"/>
  <c r="S18" i="27"/>
  <c r="Q18" i="27"/>
  <c r="S19" i="27"/>
  <c r="U19" i="27"/>
  <c r="Q19" i="27"/>
  <c r="A1" i="30"/>
  <c r="C6" i="30"/>
  <c r="C4" i="30"/>
  <c r="C15" i="30"/>
  <c r="B10" i="30"/>
  <c r="F16" i="30"/>
  <c r="B9" i="30"/>
  <c r="G6" i="30"/>
  <c r="C17" i="30"/>
  <c r="A11" i="30"/>
  <c r="B8" i="30"/>
  <c r="G7" i="30"/>
  <c r="C13" i="30"/>
  <c r="C10" i="30"/>
  <c r="I4" i="30"/>
  <c r="C16" i="30"/>
  <c r="G9" i="30"/>
  <c r="A10" i="30"/>
  <c r="C9" i="30"/>
  <c r="G17" i="30"/>
  <c r="F13" i="30"/>
  <c r="F7" i="30"/>
  <c r="G15" i="30"/>
  <c r="E7" i="30"/>
  <c r="E12" i="30"/>
  <c r="E6" i="30"/>
  <c r="A17" i="30"/>
  <c r="I5" i="30"/>
  <c r="E8" i="30"/>
  <c r="F17" i="30"/>
  <c r="A13" i="30"/>
  <c r="C12" i="30"/>
  <c r="E10" i="30"/>
  <c r="A16" i="30"/>
  <c r="B5" i="30"/>
  <c r="A4" i="30"/>
  <c r="F14" i="30"/>
  <c r="C11" i="30"/>
  <c r="B16" i="30"/>
  <c r="G14" i="30"/>
  <c r="F15" i="30"/>
  <c r="B13" i="30"/>
  <c r="E17" i="30"/>
  <c r="B14" i="30"/>
  <c r="C8" i="30"/>
  <c r="F10" i="30"/>
  <c r="F8" i="30"/>
  <c r="E4" i="30"/>
  <c r="E15" i="30"/>
  <c r="E11" i="30"/>
  <c r="G13" i="30"/>
  <c r="G12" i="30"/>
  <c r="B17" i="30"/>
  <c r="G10" i="30"/>
  <c r="E9" i="30"/>
  <c r="A5" i="30"/>
  <c r="C7" i="30"/>
  <c r="A8" i="30"/>
  <c r="G11" i="30"/>
  <c r="B6" i="30"/>
  <c r="A9" i="30"/>
  <c r="A14" i="30"/>
  <c r="F11" i="30"/>
  <c r="E14" i="30"/>
  <c r="G5" i="30"/>
  <c r="A12" i="30"/>
  <c r="E13" i="30"/>
  <c r="A7" i="30"/>
  <c r="G4" i="30"/>
  <c r="B15" i="30"/>
  <c r="F5" i="30"/>
  <c r="F4" i="30"/>
  <c r="C14" i="30"/>
  <c r="B7" i="30"/>
  <c r="B12" i="30"/>
  <c r="F9" i="30"/>
  <c r="C5" i="30"/>
  <c r="B11" i="30"/>
  <c r="F12" i="30"/>
  <c r="A15" i="30"/>
  <c r="E5" i="30"/>
  <c r="D4" i="30"/>
  <c r="E16" i="30"/>
  <c r="F6" i="30"/>
  <c r="B4" i="30"/>
  <c r="G8" i="30"/>
  <c r="G16" i="30"/>
  <c r="A6" i="30"/>
  <c r="U7" i="27"/>
  <c r="U11" i="27"/>
  <c r="R16" i="27"/>
  <c r="U17" i="27"/>
  <c r="R17" i="27"/>
  <c r="R12" i="27"/>
  <c r="U8" i="27"/>
  <c r="R11" i="27"/>
  <c r="W8" i="27"/>
  <c r="R15" i="27"/>
  <c r="R10" i="27"/>
  <c r="U18" i="27"/>
  <c r="U14" i="27"/>
  <c r="R19" i="27"/>
  <c r="R13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U10" i="27"/>
  <c r="U13" i="27"/>
  <c r="U9" i="27"/>
  <c r="U12" i="27"/>
  <c r="U15" i="27"/>
  <c r="V7" i="27"/>
  <c r="Z7" i="27"/>
  <c r="Z6" i="27"/>
  <c r="D5" i="30"/>
  <c r="W9" i="27"/>
  <c r="V8" i="27"/>
  <c r="V9" i="27"/>
  <c r="I6" i="30"/>
  <c r="D6" i="30"/>
  <c r="Z8" i="27"/>
  <c r="W10" i="27"/>
  <c r="Z9" i="27"/>
  <c r="V10" i="27"/>
  <c r="I7" i="30"/>
  <c r="D7" i="30"/>
  <c r="Z10" i="27"/>
  <c r="W11" i="27"/>
  <c r="V11" i="27"/>
  <c r="I8" i="30"/>
  <c r="D8" i="30"/>
  <c r="Z11" i="27"/>
  <c r="W12" i="27"/>
  <c r="V12" i="27"/>
  <c r="I9" i="30"/>
  <c r="D9" i="30"/>
  <c r="Z12" i="27"/>
  <c r="W13" i="27"/>
  <c r="V13" i="27"/>
  <c r="I10" i="30"/>
  <c r="D10" i="30"/>
  <c r="Z13" i="27"/>
  <c r="W14" i="27"/>
  <c r="V14" i="27"/>
  <c r="I11" i="30"/>
  <c r="D11" i="30"/>
  <c r="Z14" i="27"/>
  <c r="W15" i="27"/>
  <c r="V15" i="27"/>
  <c r="I12" i="30"/>
  <c r="D12" i="30"/>
  <c r="Z15" i="27"/>
  <c r="W16" i="27"/>
  <c r="V16" i="27"/>
  <c r="I13" i="30"/>
  <c r="D13" i="30"/>
  <c r="Z16" i="27"/>
  <c r="W17" i="27"/>
  <c r="V17" i="27"/>
  <c r="I14" i="30"/>
  <c r="D14" i="30"/>
  <c r="Z17" i="27"/>
  <c r="W18" i="27"/>
  <c r="V18" i="27"/>
  <c r="I15" i="30"/>
  <c r="D15" i="30"/>
  <c r="Z18" i="27"/>
  <c r="W19" i="27"/>
  <c r="V19" i="27"/>
  <c r="I16" i="30"/>
  <c r="I17" i="30"/>
  <c r="D16" i="30"/>
  <c r="Z19" i="27"/>
  <c r="D17" i="30"/>
  <c r="H4" i="30"/>
  <c r="H5" i="30"/>
  <c r="H6" i="30"/>
  <c r="H14" i="30"/>
  <c r="H7" i="30"/>
  <c r="H8" i="30"/>
  <c r="H10" i="30"/>
  <c r="H13" i="30"/>
  <c r="H9" i="30"/>
  <c r="H16" i="30"/>
  <c r="H11" i="30"/>
  <c r="H12" i="30"/>
  <c r="H15" i="30"/>
  <c r="H17" i="30"/>
</calcChain>
</file>

<file path=xl/sharedStrings.xml><?xml version="1.0" encoding="utf-8"?>
<sst xmlns="http://schemas.openxmlformats.org/spreadsheetml/2006/main" count="69" uniqueCount="55">
  <si>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</si>
  <si>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</si>
  <si>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</si>
  <si>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</si>
  <si>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</si>
  <si>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</si>
  <si>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</si>
  <si>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</si>
  <si>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</si>
  <si>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</si>
  <si>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</si>
  <si>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</si>
  <si>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</si>
  <si>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</si>
  <si>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</si>
  <si>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</si>
  <si>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</si>
  <si>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</si>
  <si>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</si>
  <si>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</si>
  <si>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</si>
  <si>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</si>
  <si>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</si>
  <si>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</si>
  <si>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</si>
  <si>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</si>
  <si>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</si>
  <si>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</si>
  <si>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</si>
  <si>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</si>
  <si>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</si>
  <si>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</si>
  <si>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</si>
  <si>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</si>
  <si>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</si>
  <si>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</si>
  <si>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</si>
  <si>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</si>
  <si>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</si>
  <si>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</si>
  <si>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</si>
  <si>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</si>
  <si>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</si>
  <si>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</si>
  <si>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</si>
  <si>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</si>
  <si>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</si>
  <si>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</si>
  <si>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</si>
  <si>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</si>
  <si>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Yellow</t>
  </si>
  <si>
    <t>UT-GOM2-1-H005-11FB-1 / 035-026</t>
  </si>
  <si>
    <t>pump through manifold</t>
  </si>
  <si>
    <t>UT-GOM2-1-H005-11FB-1</t>
  </si>
  <si>
    <t>21Y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</si>
</sst>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8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'UT-GOM2-1-H005-11FB-1'!$Z$4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'UT-GOM2-1-H005-11FB-1'!$Z$6:$Z$19</c:f>
              <c:numCache>
                <c:formatCode>0.00</c:formatCode>
                <c:ptCount val="14"/>
                <c:pt idx="0">
                  <c:v>0.0</c:v>
                </c:pt>
                <c:pt idx="1">
                  <c:v>0.330830864187251</c:v>
                </c:pt>
                <c:pt idx="2">
                  <c:v>0.770194623323652</c:v>
                </c:pt>
                <c:pt idx="3">
                  <c:v>0.956756539842439</c:v>
                </c:pt>
                <c:pt idx="4">
                  <c:v>0.958976049610287</c:v>
                </c:pt>
                <c:pt idx="5">
                  <c:v>0.69141432927623</c:v>
                </c:pt>
                <c:pt idx="6">
                  <c:v>0.714147712758377</c:v>
                </c:pt>
                <c:pt idx="7">
                  <c:v>0.692110823182181</c:v>
                </c:pt>
                <c:pt idx="8">
                  <c:v>0.585548731144729</c:v>
                </c:pt>
                <c:pt idx="9">
                  <c:v>0.507364413961199</c:v>
                </c:pt>
                <c:pt idx="10">
                  <c:v>0.38266176761535</c:v>
                </c:pt>
                <c:pt idx="11">
                  <c:v>0.294683065753762</c:v>
                </c:pt>
                <c:pt idx="12">
                  <c:v>0.172661006273196</c:v>
                </c:pt>
                <c:pt idx="13">
                  <c:v>0.286170573964251</c:v>
                </c:pt>
              </c:numCache>
            </c:numRef>
          </c:xVal>
          <c:yVal>
            <c:numRef>
              <c:f>'UT-GOM2-1-H005-11FB-1'!$AB$6:$AB$19</c:f>
              <c:numCache>
                <c:formatCode>0.0</c:formatCode>
                <c:ptCount val="14"/>
                <c:pt idx="0">
                  <c:v>19.9</c:v>
                </c:pt>
                <c:pt idx="1">
                  <c:v>15.0</c:v>
                </c:pt>
                <c:pt idx="2">
                  <c:v>9.5</c:v>
                </c:pt>
                <c:pt idx="3">
                  <c:v>7.6</c:v>
                </c:pt>
                <c:pt idx="4">
                  <c:v>6.5</c:v>
                </c:pt>
                <c:pt idx="5">
                  <c:v>4.6</c:v>
                </c:pt>
                <c:pt idx="6">
                  <c:v>3.9</c:v>
                </c:pt>
                <c:pt idx="7">
                  <c:v>3.4</c:v>
                </c:pt>
                <c:pt idx="8">
                  <c:v>2.7</c:v>
                </c:pt>
                <c:pt idx="9">
                  <c:v>2.2</c:v>
                </c:pt>
                <c:pt idx="10">
                  <c:v>1.5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'UT-GOM2-1-H005-11FB-1'!$U$4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'UT-GOM2-1-H005-11FB-1'!$V$6:$V$19</c:f>
              <c:numCache>
                <c:formatCode>0.00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</c:numCache>
            </c:numRef>
          </c:xVal>
          <c:yVal>
            <c:numRef>
              <c:f>'UT-GOM2-1-H005-11FB-1'!$AB$6:$AB$19</c:f>
              <c:numCache>
                <c:formatCode>0.0</c:formatCode>
                <c:ptCount val="14"/>
                <c:pt idx="0">
                  <c:v>19.9</c:v>
                </c:pt>
                <c:pt idx="1">
                  <c:v>15.0</c:v>
                </c:pt>
                <c:pt idx="2">
                  <c:v>9.5</c:v>
                </c:pt>
                <c:pt idx="3">
                  <c:v>7.6</c:v>
                </c:pt>
                <c:pt idx="4">
                  <c:v>6.5</c:v>
                </c:pt>
                <c:pt idx="5">
                  <c:v>4.6</c:v>
                </c:pt>
                <c:pt idx="6">
                  <c:v>3.9</c:v>
                </c:pt>
                <c:pt idx="7">
                  <c:v>3.4</c:v>
                </c:pt>
                <c:pt idx="8">
                  <c:v>2.7</c:v>
                </c:pt>
                <c:pt idx="9">
                  <c:v>2.2</c:v>
                </c:pt>
                <c:pt idx="10">
                  <c:v>1.5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'UT-GOM2-1-H005-11FB-1'!$W$4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'UT-GOM2-1-H005-11FB-1'!$Y$6:$Y$19</c:f>
              <c:numCache>
                <c:formatCode>0.00</c:formatCode>
                <c:ptCount val="14"/>
                <c:pt idx="0">
                  <c:v>0.0</c:v>
                </c:pt>
                <c:pt idx="1">
                  <c:v>0.330830864187251</c:v>
                </c:pt>
                <c:pt idx="2">
                  <c:v>0.770194623323652</c:v>
                </c:pt>
                <c:pt idx="3">
                  <c:v>0.956756539842439</c:v>
                </c:pt>
                <c:pt idx="4">
                  <c:v>0.958976049610287</c:v>
                </c:pt>
                <c:pt idx="5">
                  <c:v>0.69141432927623</c:v>
                </c:pt>
                <c:pt idx="6">
                  <c:v>0.714147712758377</c:v>
                </c:pt>
                <c:pt idx="7">
                  <c:v>0.692110823182181</c:v>
                </c:pt>
                <c:pt idx="8">
                  <c:v>0.585548731144729</c:v>
                </c:pt>
                <c:pt idx="9">
                  <c:v>0.507364413961199</c:v>
                </c:pt>
                <c:pt idx="10">
                  <c:v>0.38266176761535</c:v>
                </c:pt>
                <c:pt idx="11">
                  <c:v>0.294683065753762</c:v>
                </c:pt>
                <c:pt idx="12">
                  <c:v>0.172661006273196</c:v>
                </c:pt>
                <c:pt idx="13">
                  <c:v>0.286170573964251</c:v>
                </c:pt>
              </c:numCache>
            </c:numRef>
          </c:xVal>
          <c:yVal>
            <c:numRef>
              <c:f>'UT-GOM2-1-H005-11FB-1'!$AB$6:$AB$19</c:f>
              <c:numCache>
                <c:formatCode>0.0</c:formatCode>
                <c:ptCount val="14"/>
                <c:pt idx="0">
                  <c:v>19.9</c:v>
                </c:pt>
                <c:pt idx="1">
                  <c:v>15.0</c:v>
                </c:pt>
                <c:pt idx="2">
                  <c:v>9.5</c:v>
                </c:pt>
                <c:pt idx="3">
                  <c:v>7.6</c:v>
                </c:pt>
                <c:pt idx="4">
                  <c:v>6.5</c:v>
                </c:pt>
                <c:pt idx="5">
                  <c:v>4.6</c:v>
                </c:pt>
                <c:pt idx="6">
                  <c:v>3.9</c:v>
                </c:pt>
                <c:pt idx="7">
                  <c:v>3.4</c:v>
                </c:pt>
                <c:pt idx="8">
                  <c:v>2.7</c:v>
                </c:pt>
                <c:pt idx="9">
                  <c:v>2.2</c:v>
                </c:pt>
                <c:pt idx="10">
                  <c:v>1.5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8744472"/>
        <c:axId val="-2095348552"/>
      </c:scatterChart>
      <c:valAx>
        <c:axId val="-2068744472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1"/>
              <c:y val="0.9517440718157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5348552"/>
        <c:crosses val="autoZero"/>
        <c:crossBetween val="midCat"/>
        <c:minorUnit val="1.0"/>
      </c:valAx>
      <c:valAx>
        <c:axId val="-2095348552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5465057818"/>
              <c:y val="0.40613533197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8744472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"/>
          <c:y val="0.144544546070461"/>
          <c:w val="0.312371794871795"/>
          <c:h val="0.105055894308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UT-GOM2-1-H005-11FB-1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9"/>
  <sheetViews>
    <sheetView zoomScale="75" zoomScaleNormal="75" zoomScalePageLayoutView="75" workbookViewId="0">
      <selection activeCell="D36" sqref="D36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89" t="s">
        <v>1</v>
      </c>
      <c r="B1" s="90"/>
      <c r="C1" s="90"/>
      <c r="D1" s="90"/>
      <c r="E1" s="90"/>
      <c r="F1" s="91">
        <v>41422</v>
      </c>
      <c r="G1" s="92"/>
      <c r="H1" s="93"/>
      <c r="I1" s="94" t="s">
        <v>11</v>
      </c>
      <c r="J1" s="90"/>
      <c r="K1" s="90"/>
      <c r="L1" s="92" t="s">
        <v>51</v>
      </c>
      <c r="M1" s="92"/>
      <c r="N1" s="93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84" t="s">
        <v>10</v>
      </c>
      <c r="B2" s="85"/>
      <c r="C2" s="85"/>
      <c r="D2" s="85"/>
      <c r="E2" s="85"/>
      <c r="F2" s="86">
        <v>1009</v>
      </c>
      <c r="G2" s="86"/>
      <c r="H2" s="87"/>
      <c r="I2" s="88" t="s">
        <v>4</v>
      </c>
      <c r="J2" s="85"/>
      <c r="K2" s="85"/>
      <c r="L2" s="86" t="s">
        <v>50</v>
      </c>
      <c r="M2" s="86"/>
      <c r="N2" s="67">
        <f>IF(L2="red",4025, IF(L2="green",4140,IF(L2="yellow",4122,IF(L2="blue",4059,0))))</f>
        <v>4122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Q3" s="79" t="s">
        <v>35</v>
      </c>
      <c r="R3" s="80"/>
      <c r="S3" s="81"/>
    </row>
    <row r="4" spans="1:28" ht="25" customHeight="1">
      <c r="A4" s="103" t="s">
        <v>17</v>
      </c>
      <c r="B4" s="95" t="s">
        <v>16</v>
      </c>
      <c r="C4" s="105" t="s">
        <v>28</v>
      </c>
      <c r="D4" s="97" t="s">
        <v>31</v>
      </c>
      <c r="E4" s="99"/>
      <c r="F4" s="97" t="s">
        <v>3</v>
      </c>
      <c r="G4" s="98"/>
      <c r="H4" s="56"/>
      <c r="I4" s="107" t="s">
        <v>2</v>
      </c>
      <c r="J4" s="107"/>
      <c r="K4" s="107"/>
      <c r="L4" s="108"/>
      <c r="M4" s="109" t="s">
        <v>26</v>
      </c>
      <c r="N4" s="111" t="s">
        <v>29</v>
      </c>
      <c r="O4" s="78" t="s">
        <v>34</v>
      </c>
      <c r="P4" s="77"/>
      <c r="Q4" s="47" t="s">
        <v>37</v>
      </c>
      <c r="R4" s="82" t="s">
        <v>36</v>
      </c>
      <c r="S4" s="83"/>
      <c r="T4" s="51" t="s">
        <v>38</v>
      </c>
      <c r="U4" s="76" t="s">
        <v>32</v>
      </c>
      <c r="V4" s="77"/>
      <c r="W4" s="73" t="s">
        <v>45</v>
      </c>
      <c r="X4" s="74"/>
      <c r="Y4" s="75"/>
      <c r="Z4" s="51" t="s">
        <v>33</v>
      </c>
      <c r="AB4" s="51" t="s">
        <v>48</v>
      </c>
    </row>
    <row r="5" spans="1:28" s="4" customFormat="1" ht="77.25" customHeight="1" thickBot="1">
      <c r="A5" s="104"/>
      <c r="B5" s="96"/>
      <c r="C5" s="106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0"/>
      <c r="N5" s="112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.25" customHeight="1">
      <c r="A6" s="23">
        <v>1</v>
      </c>
      <c r="B6" s="24">
        <v>41422</v>
      </c>
      <c r="C6" s="25">
        <v>0.59027777777777779</v>
      </c>
      <c r="D6" s="26">
        <v>199</v>
      </c>
      <c r="E6" s="27">
        <v>199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/>
      <c r="O6" s="55">
        <v>0</v>
      </c>
      <c r="P6" s="55">
        <v>0</v>
      </c>
      <c r="Q6" s="61">
        <f t="shared" ref="Q6:Q19" si="0">F6*$F$2/1000*273/(273+L6)</f>
        <v>0</v>
      </c>
      <c r="R6" s="62">
        <f t="shared" ref="R6:R19" si="1">$N$2-K6</f>
        <v>4122</v>
      </c>
      <c r="S6" s="63">
        <f>IF(I6=J6,0,R6*(J6-I6))*273/(273+L6)</f>
        <v>0</v>
      </c>
      <c r="T6" s="72">
        <f t="shared" ref="T6:T17" si="2">T7</f>
        <v>85.378702854971067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19.899999999999999</v>
      </c>
    </row>
    <row r="7" spans="1:28" s="40" customFormat="1" ht="20.25" customHeight="1">
      <c r="A7" s="35">
        <f>A6+1</f>
        <v>2</v>
      </c>
      <c r="B7" s="24">
        <v>41422</v>
      </c>
      <c r="C7" s="25">
        <v>0.59027777777777779</v>
      </c>
      <c r="D7" s="26">
        <v>199</v>
      </c>
      <c r="E7" s="27">
        <v>150</v>
      </c>
      <c r="F7" s="36">
        <v>0</v>
      </c>
      <c r="G7" s="29">
        <v>5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/>
      <c r="O7" s="61">
        <f t="shared" ref="O7:O19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4122</v>
      </c>
      <c r="S7" s="63">
        <f t="shared" ref="S7:S19" si="4">IF(I7=J7,0,R7*(J7-I7))*273/(273+L7)</f>
        <v>0</v>
      </c>
      <c r="T7" s="72">
        <f t="shared" si="2"/>
        <v>85.378702854971067</v>
      </c>
      <c r="U7" s="61">
        <f>(S7+Q7)*T7/100</f>
        <v>0</v>
      </c>
      <c r="V7" s="64">
        <f t="shared" ref="V7:V9" si="5">V6+U7/1000</f>
        <v>0</v>
      </c>
      <c r="W7" s="64">
        <f>W6+(G7+K7)/1000</f>
        <v>5.0000000000000001E-3</v>
      </c>
      <c r="X7" s="71">
        <f>0.026*EXP(-0.016*E7)</f>
        <v>2.3586667855247253E-3</v>
      </c>
      <c r="Y7" s="64">
        <f>(W7-(X7-X6))*(E7+1)*1*273/(273+L7)*T7/100</f>
        <v>0.33083086418725105</v>
      </c>
      <c r="Z7" s="64">
        <f>V7+Y7</f>
        <v>0.33083086418725105</v>
      </c>
      <c r="AB7" s="70">
        <f t="shared" ref="AB7:AB19" si="6">E7/10</f>
        <v>15</v>
      </c>
    </row>
    <row r="8" spans="1:28" s="40" customFormat="1" ht="20.25" customHeight="1">
      <c r="A8" s="35">
        <f t="shared" ref="A8:A19" si="7">A7+1</f>
        <v>3</v>
      </c>
      <c r="B8" s="24">
        <v>41422</v>
      </c>
      <c r="C8" s="25">
        <v>0.59166666666666667</v>
      </c>
      <c r="D8" s="26">
        <v>157</v>
      </c>
      <c r="E8" s="27">
        <v>95</v>
      </c>
      <c r="F8" s="36">
        <v>0</v>
      </c>
      <c r="G8" s="29">
        <v>8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/>
      <c r="O8" s="61">
        <f t="shared" si="3"/>
        <v>1.9999999960418791</v>
      </c>
      <c r="P8" s="64">
        <f t="shared" ref="P8:P19" si="8">P7+O8/60</f>
        <v>3.3333333267364651E-2</v>
      </c>
      <c r="Q8" s="61">
        <f t="shared" si="0"/>
        <v>0</v>
      </c>
      <c r="R8" s="62">
        <f t="shared" si="1"/>
        <v>4122</v>
      </c>
      <c r="S8" s="63">
        <f t="shared" si="4"/>
        <v>0</v>
      </c>
      <c r="T8" s="72">
        <f t="shared" si="2"/>
        <v>85.378702854971067</v>
      </c>
      <c r="U8" s="61">
        <f t="shared" ref="U8:U19" si="9">(S8+Q8)*T8/100</f>
        <v>0</v>
      </c>
      <c r="V8" s="64">
        <f t="shared" si="5"/>
        <v>0</v>
      </c>
      <c r="W8" s="64">
        <f t="shared" ref="W8:W19" si="10">W7+(G8+K8)/1000</f>
        <v>1.3000000000000001E-2</v>
      </c>
      <c r="X8" s="71">
        <f t="shared" ref="X8:X19" si="11">0.026*EXP(-0.016*E8)</f>
        <v>5.6865090607575832E-3</v>
      </c>
      <c r="Y8" s="64">
        <f t="shared" ref="Y8:Y19" si="12">(W8-(X8-X7))*(E8+1)*1*273/(273+L8)*T8/100</f>
        <v>0.77019462332365252</v>
      </c>
      <c r="Z8" s="64">
        <f t="shared" ref="Z8:Z19" si="13">V8+Y8</f>
        <v>0.77019462332365252</v>
      </c>
      <c r="AB8" s="70">
        <f t="shared" si="6"/>
        <v>9.5</v>
      </c>
    </row>
    <row r="9" spans="1:28" s="40" customFormat="1" ht="20.25" customHeight="1">
      <c r="A9" s="35">
        <f t="shared" si="7"/>
        <v>4</v>
      </c>
      <c r="B9" s="24">
        <v>41422</v>
      </c>
      <c r="C9" s="25">
        <v>0.59375</v>
      </c>
      <c r="D9" s="26">
        <v>104</v>
      </c>
      <c r="E9" s="27">
        <v>76</v>
      </c>
      <c r="F9" s="36">
        <v>0</v>
      </c>
      <c r="G9" s="29">
        <v>4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/>
      <c r="O9" s="61">
        <f t="shared" si="3"/>
        <v>2.9999999993015081</v>
      </c>
      <c r="P9" s="64">
        <f t="shared" si="8"/>
        <v>8.3333333255723119E-2</v>
      </c>
      <c r="Q9" s="61">
        <f t="shared" si="0"/>
        <v>0</v>
      </c>
      <c r="R9" s="62">
        <f t="shared" si="1"/>
        <v>4122</v>
      </c>
      <c r="S9" s="63">
        <f t="shared" si="4"/>
        <v>0</v>
      </c>
      <c r="T9" s="72">
        <f t="shared" si="2"/>
        <v>85.378702854971067</v>
      </c>
      <c r="U9" s="61">
        <f t="shared" si="9"/>
        <v>0</v>
      </c>
      <c r="V9" s="64">
        <f t="shared" si="5"/>
        <v>0</v>
      </c>
      <c r="W9" s="64">
        <f t="shared" si="10"/>
        <v>1.7000000000000001E-2</v>
      </c>
      <c r="X9" s="71">
        <f t="shared" si="11"/>
        <v>7.7067497672182964E-3</v>
      </c>
      <c r="Y9" s="64">
        <f t="shared" si="12"/>
        <v>0.9567565398424388</v>
      </c>
      <c r="Z9" s="64">
        <f t="shared" si="13"/>
        <v>0.9567565398424388</v>
      </c>
      <c r="AB9" s="70">
        <f t="shared" si="6"/>
        <v>7.6</v>
      </c>
    </row>
    <row r="10" spans="1:28" s="40" customFormat="1" ht="20.25" customHeight="1">
      <c r="A10" s="35">
        <f t="shared" si="7"/>
        <v>5</v>
      </c>
      <c r="B10" s="24">
        <v>41422</v>
      </c>
      <c r="C10" s="25">
        <v>0.59583333333333333</v>
      </c>
      <c r="D10" s="26">
        <v>81</v>
      </c>
      <c r="E10" s="27">
        <v>65</v>
      </c>
      <c r="F10" s="36">
        <v>0</v>
      </c>
      <c r="G10" s="29">
        <v>2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/>
      <c r="O10" s="61">
        <f t="shared" si="3"/>
        <v>2.9999999993015081</v>
      </c>
      <c r="P10" s="64">
        <f t="shared" si="8"/>
        <v>0.13333333324408159</v>
      </c>
      <c r="Q10" s="61">
        <f t="shared" si="0"/>
        <v>0</v>
      </c>
      <c r="R10" s="62">
        <f t="shared" si="1"/>
        <v>4122</v>
      </c>
      <c r="S10" s="63">
        <f t="shared" si="4"/>
        <v>0</v>
      </c>
      <c r="T10" s="72">
        <f t="shared" si="2"/>
        <v>85.378702854971067</v>
      </c>
      <c r="U10" s="61">
        <f t="shared" si="9"/>
        <v>0</v>
      </c>
      <c r="V10" s="64">
        <f>V9+U10/1000</f>
        <v>0</v>
      </c>
      <c r="W10" s="64">
        <f t="shared" si="10"/>
        <v>1.9000000000000003E-2</v>
      </c>
      <c r="X10" s="71">
        <f t="shared" si="11"/>
        <v>9.189821730928284E-3</v>
      </c>
      <c r="Y10" s="64">
        <f t="shared" si="12"/>
        <v>0.95897604961028715</v>
      </c>
      <c r="Z10" s="64">
        <f t="shared" si="13"/>
        <v>0.95897604961028715</v>
      </c>
      <c r="AB10" s="70">
        <f t="shared" si="6"/>
        <v>6.5</v>
      </c>
    </row>
    <row r="11" spans="1:28" s="40" customFormat="1" ht="20.25" customHeight="1">
      <c r="A11" s="35">
        <f t="shared" si="7"/>
        <v>6</v>
      </c>
      <c r="B11" s="24">
        <v>41422</v>
      </c>
      <c r="C11" s="25">
        <v>0.59861111111111109</v>
      </c>
      <c r="D11" s="26">
        <v>67</v>
      </c>
      <c r="E11" s="27">
        <v>46</v>
      </c>
      <c r="F11" s="36">
        <v>0</v>
      </c>
      <c r="G11" s="29">
        <v>2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/>
      <c r="O11" s="61">
        <f t="shared" si="3"/>
        <v>4.0000000025611371</v>
      </c>
      <c r="P11" s="64">
        <f t="shared" si="8"/>
        <v>0.19999999995343387</v>
      </c>
      <c r="Q11" s="61">
        <f t="shared" si="0"/>
        <v>0</v>
      </c>
      <c r="R11" s="62">
        <f t="shared" si="1"/>
        <v>4122</v>
      </c>
      <c r="S11" s="63">
        <f t="shared" si="4"/>
        <v>0</v>
      </c>
      <c r="T11" s="72">
        <f t="shared" si="2"/>
        <v>85.378702854971067</v>
      </c>
      <c r="U11" s="61">
        <f t="shared" si="9"/>
        <v>0</v>
      </c>
      <c r="V11" s="64">
        <f t="shared" ref="V11:V19" si="14">V10+U11/1000</f>
        <v>0</v>
      </c>
      <c r="W11" s="64">
        <f t="shared" si="10"/>
        <v>2.1000000000000005E-2</v>
      </c>
      <c r="X11" s="71">
        <f t="shared" si="11"/>
        <v>1.2454681022907529E-2</v>
      </c>
      <c r="Y11" s="64">
        <f t="shared" si="12"/>
        <v>0.69141432927623026</v>
      </c>
      <c r="Z11" s="64">
        <f t="shared" si="13"/>
        <v>0.69141432927623026</v>
      </c>
      <c r="AB11" s="70">
        <f t="shared" si="6"/>
        <v>4.5999999999999996</v>
      </c>
    </row>
    <row r="12" spans="1:28" s="40" customFormat="1" ht="20.25" customHeight="1">
      <c r="A12" s="35">
        <f t="shared" si="7"/>
        <v>7</v>
      </c>
      <c r="B12" s="24">
        <v>41422</v>
      </c>
      <c r="C12" s="25">
        <v>0.61388888888888882</v>
      </c>
      <c r="D12" s="26">
        <v>50</v>
      </c>
      <c r="E12" s="27">
        <v>39</v>
      </c>
      <c r="F12" s="36">
        <v>0</v>
      </c>
      <c r="G12" s="29">
        <v>2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/>
      <c r="O12" s="61">
        <f t="shared" si="3"/>
        <v>21.999999998370185</v>
      </c>
      <c r="P12" s="64">
        <f t="shared" si="8"/>
        <v>0.56666666659293696</v>
      </c>
      <c r="Q12" s="61">
        <f t="shared" si="0"/>
        <v>0</v>
      </c>
      <c r="R12" s="62">
        <f t="shared" si="1"/>
        <v>4122</v>
      </c>
      <c r="S12" s="63">
        <f t="shared" si="4"/>
        <v>0</v>
      </c>
      <c r="T12" s="72">
        <f t="shared" si="2"/>
        <v>85.378702854971067</v>
      </c>
      <c r="U12" s="61">
        <f t="shared" si="9"/>
        <v>0</v>
      </c>
      <c r="V12" s="64">
        <f t="shared" si="14"/>
        <v>0</v>
      </c>
      <c r="W12" s="64">
        <f t="shared" si="10"/>
        <v>2.3000000000000007E-2</v>
      </c>
      <c r="X12" s="71">
        <f t="shared" si="11"/>
        <v>1.3930720899353856E-2</v>
      </c>
      <c r="Y12" s="64">
        <f t="shared" si="12"/>
        <v>0.71414771275837741</v>
      </c>
      <c r="Z12" s="64">
        <f t="shared" si="13"/>
        <v>0.71414771275837741</v>
      </c>
      <c r="AB12" s="70">
        <f t="shared" si="6"/>
        <v>3.9</v>
      </c>
    </row>
    <row r="13" spans="1:28" s="40" customFormat="1" ht="20.25" customHeight="1">
      <c r="A13" s="35">
        <f t="shared" si="7"/>
        <v>8</v>
      </c>
      <c r="B13" s="24">
        <v>41422</v>
      </c>
      <c r="C13" s="25">
        <v>0.63472222222222219</v>
      </c>
      <c r="D13" s="26">
        <v>45</v>
      </c>
      <c r="E13" s="27">
        <v>34</v>
      </c>
      <c r="F13" s="36">
        <v>0</v>
      </c>
      <c r="G13" s="29">
        <v>2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/>
      <c r="O13" s="61">
        <f t="shared" si="3"/>
        <v>30.00000000349246</v>
      </c>
      <c r="P13" s="64">
        <f t="shared" si="8"/>
        <v>1.0666666666511446</v>
      </c>
      <c r="Q13" s="61">
        <f t="shared" si="0"/>
        <v>0</v>
      </c>
      <c r="R13" s="62">
        <f t="shared" si="1"/>
        <v>4122</v>
      </c>
      <c r="S13" s="63">
        <f t="shared" si="4"/>
        <v>0</v>
      </c>
      <c r="T13" s="72">
        <f t="shared" si="2"/>
        <v>85.378702854971067</v>
      </c>
      <c r="U13" s="61">
        <f t="shared" si="9"/>
        <v>0</v>
      </c>
      <c r="V13" s="64">
        <f t="shared" si="14"/>
        <v>0</v>
      </c>
      <c r="W13" s="64">
        <f t="shared" si="10"/>
        <v>2.5000000000000008E-2</v>
      </c>
      <c r="X13" s="71">
        <f t="shared" si="11"/>
        <v>1.5090969793659301E-2</v>
      </c>
      <c r="Y13" s="64">
        <f t="shared" si="12"/>
        <v>0.69211082318218087</v>
      </c>
      <c r="Z13" s="64">
        <f t="shared" si="13"/>
        <v>0.69211082318218087</v>
      </c>
      <c r="AB13" s="70">
        <f t="shared" si="6"/>
        <v>3.4</v>
      </c>
    </row>
    <row r="14" spans="1:28" s="40" customFormat="1" ht="20.25" customHeight="1">
      <c r="A14" s="35">
        <f t="shared" si="7"/>
        <v>9</v>
      </c>
      <c r="B14" s="24">
        <v>41422</v>
      </c>
      <c r="C14" s="25">
        <v>0.65833333333333333</v>
      </c>
      <c r="D14" s="26">
        <v>40</v>
      </c>
      <c r="E14" s="27">
        <v>27</v>
      </c>
      <c r="F14" s="36">
        <v>0</v>
      </c>
      <c r="G14" s="29">
        <v>2</v>
      </c>
      <c r="H14" s="37"/>
      <c r="I14" s="31">
        <v>1</v>
      </c>
      <c r="J14" s="31">
        <v>1</v>
      </c>
      <c r="K14" s="32">
        <v>0</v>
      </c>
      <c r="L14" s="27">
        <v>8</v>
      </c>
      <c r="M14" s="38"/>
      <c r="N14" s="39"/>
      <c r="O14" s="61">
        <f t="shared" si="3"/>
        <v>33.999999995576218</v>
      </c>
      <c r="P14" s="64">
        <f t="shared" si="8"/>
        <v>1.6333333332440816</v>
      </c>
      <c r="Q14" s="61">
        <f t="shared" si="0"/>
        <v>0</v>
      </c>
      <c r="R14" s="62">
        <f t="shared" si="1"/>
        <v>4122</v>
      </c>
      <c r="S14" s="63">
        <f t="shared" si="4"/>
        <v>0</v>
      </c>
      <c r="T14" s="72">
        <f t="shared" si="2"/>
        <v>85.378702854971067</v>
      </c>
      <c r="U14" s="61">
        <f t="shared" si="9"/>
        <v>0</v>
      </c>
      <c r="V14" s="64">
        <f t="shared" si="14"/>
        <v>0</v>
      </c>
      <c r="W14" s="64">
        <f t="shared" si="10"/>
        <v>2.700000000000001E-2</v>
      </c>
      <c r="X14" s="71">
        <f t="shared" si="11"/>
        <v>1.6879443793813832E-2</v>
      </c>
      <c r="Y14" s="64">
        <f t="shared" si="12"/>
        <v>0.58554873114472938</v>
      </c>
      <c r="Z14" s="64">
        <f t="shared" si="13"/>
        <v>0.58554873114472938</v>
      </c>
      <c r="AB14" s="70">
        <f t="shared" si="6"/>
        <v>2.7</v>
      </c>
    </row>
    <row r="15" spans="1:28" s="40" customFormat="1" ht="20.25" customHeight="1">
      <c r="A15" s="35">
        <f t="shared" si="7"/>
        <v>10</v>
      </c>
      <c r="B15" s="24">
        <v>41422</v>
      </c>
      <c r="C15" s="25">
        <v>0.68055555555555547</v>
      </c>
      <c r="D15" s="26">
        <v>32</v>
      </c>
      <c r="E15" s="27">
        <v>22</v>
      </c>
      <c r="F15" s="36">
        <v>0</v>
      </c>
      <c r="G15" s="29">
        <v>1</v>
      </c>
      <c r="H15" s="37"/>
      <c r="I15" s="31">
        <v>1</v>
      </c>
      <c r="J15" s="31">
        <v>1</v>
      </c>
      <c r="K15" s="32">
        <v>0</v>
      </c>
      <c r="L15" s="27">
        <v>8</v>
      </c>
      <c r="M15" s="38"/>
      <c r="N15" s="39"/>
      <c r="O15" s="61">
        <f t="shared" si="3"/>
        <v>31.999999999534339</v>
      </c>
      <c r="P15" s="64">
        <f t="shared" si="8"/>
        <v>2.1666666665696539</v>
      </c>
      <c r="Q15" s="61">
        <f t="shared" si="0"/>
        <v>0</v>
      </c>
      <c r="R15" s="62">
        <f t="shared" si="1"/>
        <v>4122</v>
      </c>
      <c r="S15" s="63">
        <f t="shared" si="4"/>
        <v>0</v>
      </c>
      <c r="T15" s="72">
        <f t="shared" si="2"/>
        <v>85.378702854971067</v>
      </c>
      <c r="U15" s="61">
        <f t="shared" si="9"/>
        <v>0</v>
      </c>
      <c r="V15" s="64">
        <f t="shared" si="14"/>
        <v>0</v>
      </c>
      <c r="W15" s="64">
        <f t="shared" si="10"/>
        <v>2.8000000000000011E-2</v>
      </c>
      <c r="X15" s="71">
        <f t="shared" si="11"/>
        <v>1.8285283171384864E-2</v>
      </c>
      <c r="Y15" s="64">
        <f t="shared" si="12"/>
        <v>0.50736441396119869</v>
      </c>
      <c r="Z15" s="64">
        <f t="shared" si="13"/>
        <v>0.50736441396119869</v>
      </c>
      <c r="AB15" s="70">
        <f t="shared" si="6"/>
        <v>2.2000000000000002</v>
      </c>
    </row>
    <row r="16" spans="1:28" s="40" customFormat="1" ht="20.25" customHeight="1">
      <c r="A16" s="35">
        <f t="shared" si="7"/>
        <v>11</v>
      </c>
      <c r="B16" s="24">
        <v>41422</v>
      </c>
      <c r="C16" s="25">
        <v>0.70138888888888884</v>
      </c>
      <c r="D16" s="26">
        <v>26</v>
      </c>
      <c r="E16" s="27">
        <v>15</v>
      </c>
      <c r="F16" s="36">
        <v>0</v>
      </c>
      <c r="G16" s="29">
        <v>3</v>
      </c>
      <c r="H16" s="37"/>
      <c r="I16" s="31">
        <v>1</v>
      </c>
      <c r="J16" s="31">
        <v>1</v>
      </c>
      <c r="K16" s="32">
        <v>0</v>
      </c>
      <c r="L16" s="27">
        <v>8</v>
      </c>
      <c r="M16" s="38"/>
      <c r="N16" s="39"/>
      <c r="O16" s="61">
        <f t="shared" si="3"/>
        <v>30.00000000349246</v>
      </c>
      <c r="P16" s="64">
        <f t="shared" si="8"/>
        <v>2.6666666666278616</v>
      </c>
      <c r="Q16" s="61">
        <f t="shared" si="0"/>
        <v>0</v>
      </c>
      <c r="R16" s="62">
        <f t="shared" si="1"/>
        <v>4122</v>
      </c>
      <c r="S16" s="63">
        <f t="shared" si="4"/>
        <v>0</v>
      </c>
      <c r="T16" s="72">
        <f t="shared" si="2"/>
        <v>85.378702854971067</v>
      </c>
      <c r="U16" s="61">
        <f t="shared" si="9"/>
        <v>0</v>
      </c>
      <c r="V16" s="64">
        <f t="shared" si="14"/>
        <v>0</v>
      </c>
      <c r="W16" s="64">
        <f t="shared" si="10"/>
        <v>3.100000000000001E-2</v>
      </c>
      <c r="X16" s="71">
        <f t="shared" si="11"/>
        <v>2.045232438773039E-2</v>
      </c>
      <c r="Y16" s="64">
        <f t="shared" si="12"/>
        <v>0.38266176761535042</v>
      </c>
      <c r="Z16" s="64">
        <f t="shared" si="13"/>
        <v>0.38266176761535042</v>
      </c>
      <c r="AB16" s="70">
        <f t="shared" si="6"/>
        <v>1.5</v>
      </c>
    </row>
    <row r="17" spans="1:28" s="40" customFormat="1" ht="20.25" customHeight="1">
      <c r="A17" s="35">
        <f t="shared" si="7"/>
        <v>12</v>
      </c>
      <c r="B17" s="24">
        <v>41422</v>
      </c>
      <c r="C17" s="25">
        <v>0.72222222222222221</v>
      </c>
      <c r="D17" s="26">
        <v>19</v>
      </c>
      <c r="E17" s="27">
        <v>10</v>
      </c>
      <c r="F17" s="36">
        <v>0</v>
      </c>
      <c r="G17" s="29">
        <v>3</v>
      </c>
      <c r="H17" s="37"/>
      <c r="I17" s="31">
        <v>1</v>
      </c>
      <c r="J17" s="31">
        <v>1</v>
      </c>
      <c r="K17" s="32">
        <v>0</v>
      </c>
      <c r="L17" s="27">
        <v>8</v>
      </c>
      <c r="M17" s="38"/>
      <c r="N17" s="39"/>
      <c r="O17" s="61">
        <f t="shared" si="3"/>
        <v>29.999999993015081</v>
      </c>
      <c r="P17" s="64">
        <f t="shared" si="8"/>
        <v>3.1666666665114462</v>
      </c>
      <c r="Q17" s="61">
        <f t="shared" si="0"/>
        <v>0</v>
      </c>
      <c r="R17" s="62">
        <f t="shared" si="1"/>
        <v>4122</v>
      </c>
      <c r="S17" s="63">
        <f t="shared" si="4"/>
        <v>0</v>
      </c>
      <c r="T17" s="72">
        <f t="shared" si="2"/>
        <v>85.378702854971067</v>
      </c>
      <c r="U17" s="61">
        <f t="shared" si="9"/>
        <v>0</v>
      </c>
      <c r="V17" s="64">
        <f t="shared" si="14"/>
        <v>0</v>
      </c>
      <c r="W17" s="64">
        <f t="shared" si="10"/>
        <v>3.4000000000000009E-2</v>
      </c>
      <c r="X17" s="71">
        <f t="shared" si="11"/>
        <v>2.2155738513121494E-2</v>
      </c>
      <c r="Y17" s="64">
        <f t="shared" si="12"/>
        <v>0.29468306575376235</v>
      </c>
      <c r="Z17" s="64">
        <f t="shared" si="13"/>
        <v>0.29468306575376235</v>
      </c>
      <c r="AB17" s="70">
        <f t="shared" si="6"/>
        <v>1</v>
      </c>
    </row>
    <row r="18" spans="1:28" s="40" customFormat="1" ht="20.25" customHeight="1">
      <c r="A18" s="35">
        <f t="shared" si="7"/>
        <v>13</v>
      </c>
      <c r="B18" s="24">
        <v>41422</v>
      </c>
      <c r="C18" s="25">
        <v>0.74791666666666667</v>
      </c>
      <c r="D18" s="26">
        <v>13</v>
      </c>
      <c r="E18" s="27">
        <v>0</v>
      </c>
      <c r="F18" s="36">
        <v>0</v>
      </c>
      <c r="G18" s="29">
        <v>178</v>
      </c>
      <c r="H18" s="37"/>
      <c r="I18" s="31">
        <v>1</v>
      </c>
      <c r="J18" s="31">
        <v>1</v>
      </c>
      <c r="K18" s="32">
        <v>0</v>
      </c>
      <c r="L18" s="27">
        <v>8</v>
      </c>
      <c r="M18" s="38"/>
      <c r="N18" s="39"/>
      <c r="O18" s="61">
        <f t="shared" si="3"/>
        <v>37.000000005355105</v>
      </c>
      <c r="P18" s="64">
        <f t="shared" si="8"/>
        <v>3.7833333332673647</v>
      </c>
      <c r="Q18" s="61">
        <f t="shared" si="0"/>
        <v>0</v>
      </c>
      <c r="R18" s="62">
        <f t="shared" si="1"/>
        <v>4122</v>
      </c>
      <c r="S18" s="63">
        <f t="shared" si="4"/>
        <v>0</v>
      </c>
      <c r="T18" s="72">
        <f>T19</f>
        <v>85.378702854971067</v>
      </c>
      <c r="U18" s="61">
        <f t="shared" si="9"/>
        <v>0</v>
      </c>
      <c r="V18" s="64">
        <f t="shared" si="14"/>
        <v>0</v>
      </c>
      <c r="W18" s="64">
        <f t="shared" si="10"/>
        <v>0.21199999999999999</v>
      </c>
      <c r="X18" s="71">
        <f t="shared" si="11"/>
        <v>2.5999999999999999E-2</v>
      </c>
      <c r="Y18" s="64">
        <f t="shared" si="12"/>
        <v>0.17266100627319564</v>
      </c>
      <c r="Z18" s="64">
        <f t="shared" si="13"/>
        <v>0.17266100627319564</v>
      </c>
      <c r="AB18" s="70">
        <f t="shared" si="6"/>
        <v>0</v>
      </c>
    </row>
    <row r="19" spans="1:28" s="40" customFormat="1" ht="20.25" customHeight="1">
      <c r="A19" s="35">
        <f t="shared" si="7"/>
        <v>14</v>
      </c>
      <c r="B19" s="24">
        <v>41422</v>
      </c>
      <c r="C19" s="25">
        <v>0.7944444444444444</v>
      </c>
      <c r="D19" s="26">
        <v>0</v>
      </c>
      <c r="E19" s="27">
        <v>0</v>
      </c>
      <c r="F19" s="36">
        <v>0</v>
      </c>
      <c r="G19" s="29">
        <v>133</v>
      </c>
      <c r="H19" s="37"/>
      <c r="I19" s="31">
        <v>1</v>
      </c>
      <c r="J19" s="31">
        <v>1</v>
      </c>
      <c r="K19" s="32">
        <v>0</v>
      </c>
      <c r="L19" s="27">
        <v>8</v>
      </c>
      <c r="M19" s="38" t="s">
        <v>54</v>
      </c>
      <c r="N19" s="39" t="s">
        <v>52</v>
      </c>
      <c r="O19" s="61">
        <f t="shared" si="3"/>
        <v>66.999999998370185</v>
      </c>
      <c r="P19" s="64">
        <f t="shared" si="8"/>
        <v>4.8999999999068677</v>
      </c>
      <c r="Q19" s="61">
        <f t="shared" si="0"/>
        <v>0</v>
      </c>
      <c r="R19" s="62">
        <f t="shared" si="1"/>
        <v>4122</v>
      </c>
      <c r="S19" s="63">
        <f t="shared" si="4"/>
        <v>0</v>
      </c>
      <c r="T19" s="72">
        <v>85.378702854971067</v>
      </c>
      <c r="U19" s="61">
        <f t="shared" si="9"/>
        <v>0</v>
      </c>
      <c r="V19" s="64">
        <f t="shared" si="14"/>
        <v>0</v>
      </c>
      <c r="W19" s="64">
        <f t="shared" si="10"/>
        <v>0.34499999999999997</v>
      </c>
      <c r="X19" s="71">
        <f t="shared" si="11"/>
        <v>2.5999999999999999E-2</v>
      </c>
      <c r="Y19" s="64">
        <f t="shared" si="12"/>
        <v>0.28617057396425083</v>
      </c>
      <c r="Z19" s="64">
        <f t="shared" si="13"/>
        <v>0.28617057396425083</v>
      </c>
      <c r="AB19" s="70">
        <f t="shared" si="6"/>
        <v>0</v>
      </c>
    </row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7"/>
  <sheetViews>
    <sheetView workbookViewId="0">
      <selection activeCell="I30" sqref="I30"/>
    </sheetView>
  </sheetViews>
  <sheetFormatPr baseColWidth="10" defaultColWidth="10.7109375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3" t="str">
        <f>CONCATENATE(M1," Depressurization Table")</f>
        <v>UT-GOM2-1-H005-11FB-1 Depressurization Table</v>
      </c>
      <c r="B1" s="113"/>
      <c r="C1" s="113"/>
      <c r="D1" s="113"/>
      <c r="E1" s="113"/>
      <c r="F1" s="113"/>
      <c r="G1" s="113"/>
      <c r="H1" s="113"/>
      <c r="I1" s="113"/>
      <c r="M1" s="22" t="s">
        <v>53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17" ca="1" si="0">INDIRECT(CONCATENATE("'",$M$1,"'!A",ROW()+2))</f>
        <v>1</v>
      </c>
      <c r="B4" s="18">
        <f t="shared" ref="B4:B17" ca="1" si="1">INDIRECT(CONCATENATE("'",$M$1,"'!D",ROW()+2))/10</f>
        <v>19.899999999999999</v>
      </c>
      <c r="C4" s="18">
        <f t="shared" ref="C4:C17" ca="1" si="2">INDIRECT(CONCATENATE("'",$M$1,"'!E",ROW()+2))/10</f>
        <v>19.899999999999999</v>
      </c>
      <c r="D4" s="19">
        <f ca="1">(INDIRECT(CONCATENATE("'",$M$1,"'!R",ROW()+2))+INDIRECT(CONCATENATE("'",$M$1,"'!T",ROW()+2)))/1000</f>
        <v>4.207378702854971</v>
      </c>
      <c r="E4" s="18">
        <f ca="1">INDIRECT(CONCATENATE("'",$M$1,"'!t",ROW()+2))</f>
        <v>85.378702854971067</v>
      </c>
      <c r="F4" s="68" t="str">
        <f ca="1">IF(INDIRECT(CONCATENATE("'",$M$1,"'!m",ROW()+2))="","",INDIRECT(CONCATENATE("'",$M$1,"'!m",ROW()+2)))</f>
        <v/>
      </c>
      <c r="G4" s="19">
        <f t="shared" ref="G4:G17" ca="1" si="3">INDIRECT(CONCATENATE("'",$M$1,"'!x",ROW()+2))</f>
        <v>0</v>
      </c>
      <c r="H4" s="20">
        <f ca="1">D4/MAX(D4:D17)</f>
        <v>7.1428571428571452E-2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19.899999999999999</v>
      </c>
      <c r="C5" s="18">
        <f t="shared" ca="1" si="2"/>
        <v>15</v>
      </c>
      <c r="D5" s="19">
        <f t="shared" ref="D5:D17" ca="1" si="4">D4+(INDIRECT(CONCATENATE("'",$M$1,"'!R",ROW()+2))+INDIRECT(CONCATENATE("'",$M$1,"'!T",ROW()+2)))/1000</f>
        <v>8.4147574057099419</v>
      </c>
      <c r="E5" s="18">
        <f t="shared" ref="E5:E17" ca="1" si="5">INDIRECT(CONCATENATE("'",$M$1,"'!t",ROW()+2))</f>
        <v>85.378702854971067</v>
      </c>
      <c r="F5" s="68" t="str">
        <f t="shared" ref="F5:F17" ca="1" si="6">IF(INDIRECT(CONCATENATE("'",$M$1,"'!m",ROW()+2))="","",INDIRECT(CONCATENATE("'",$M$1,"'!m",ROW()+2)))</f>
        <v/>
      </c>
      <c r="G5" s="19">
        <f t="shared" ca="1" si="3"/>
        <v>2.3586667855247253E-3</v>
      </c>
      <c r="H5" s="20">
        <f ca="1">D5/MAX(D5:D17)</f>
        <v>0.1428571428571429</v>
      </c>
      <c r="I5" s="19">
        <f t="shared" ref="I5:I17" ca="1" si="7">INDIRECT(CONCATENATE("'",$M$1,"'!y",ROW()+2))</f>
        <v>0.33083086418725105</v>
      </c>
      <c r="J5" s="21"/>
    </row>
    <row r="6" spans="1:21">
      <c r="A6" s="17">
        <f t="shared" ca="1" si="0"/>
        <v>3</v>
      </c>
      <c r="B6" s="18">
        <f t="shared" ca="1" si="1"/>
        <v>15.7</v>
      </c>
      <c r="C6" s="18">
        <f t="shared" ca="1" si="2"/>
        <v>9.5</v>
      </c>
      <c r="D6" s="19">
        <f t="shared" ca="1" si="4"/>
        <v>12.622136108564913</v>
      </c>
      <c r="E6" s="18">
        <f t="shared" ca="1" si="5"/>
        <v>85.378702854971067</v>
      </c>
      <c r="F6" s="68" t="str">
        <f t="shared" ca="1" si="6"/>
        <v/>
      </c>
      <c r="G6" s="19">
        <f t="shared" ca="1" si="3"/>
        <v>5.6865090607575832E-3</v>
      </c>
      <c r="H6" s="20">
        <f ca="1">D6/MAX(D6:D17)</f>
        <v>0.21428571428571436</v>
      </c>
      <c r="I6" s="19">
        <f t="shared" ca="1" si="7"/>
        <v>0.77019462332365252</v>
      </c>
      <c r="J6" s="21"/>
    </row>
    <row r="7" spans="1:21">
      <c r="A7" s="17">
        <f t="shared" ca="1" si="0"/>
        <v>4</v>
      </c>
      <c r="B7" s="18">
        <f t="shared" ca="1" si="1"/>
        <v>10.4</v>
      </c>
      <c r="C7" s="18">
        <f t="shared" ca="1" si="2"/>
        <v>7.6</v>
      </c>
      <c r="D7" s="19">
        <f t="shared" ca="1" si="4"/>
        <v>16.829514811419884</v>
      </c>
      <c r="E7" s="18">
        <f t="shared" ca="1" si="5"/>
        <v>85.378702854971067</v>
      </c>
      <c r="F7" s="68" t="str">
        <f t="shared" ca="1" si="6"/>
        <v/>
      </c>
      <c r="G7" s="19">
        <f t="shared" ca="1" si="3"/>
        <v>7.7067497672182964E-3</v>
      </c>
      <c r="H7" s="20">
        <f ca="1">D7/MAX(D7:D17)</f>
        <v>0.28571428571428581</v>
      </c>
      <c r="I7" s="19">
        <f t="shared" ca="1" si="7"/>
        <v>0.9567565398424388</v>
      </c>
      <c r="J7" s="21"/>
    </row>
    <row r="8" spans="1:21">
      <c r="A8" s="17">
        <f t="shared" ca="1" si="0"/>
        <v>5</v>
      </c>
      <c r="B8" s="18">
        <f t="shared" ca="1" si="1"/>
        <v>8.1</v>
      </c>
      <c r="C8" s="18">
        <f t="shared" ca="1" si="2"/>
        <v>6.5</v>
      </c>
      <c r="D8" s="19">
        <f t="shared" ca="1" si="4"/>
        <v>21.036893514274855</v>
      </c>
      <c r="E8" s="18">
        <f t="shared" ca="1" si="5"/>
        <v>85.378702854971067</v>
      </c>
      <c r="F8" s="68" t="str">
        <f t="shared" ca="1" si="6"/>
        <v/>
      </c>
      <c r="G8" s="19">
        <f t="shared" ca="1" si="3"/>
        <v>9.189821730928284E-3</v>
      </c>
      <c r="H8" s="20">
        <f ca="1">D8/MAX(D8:D17)</f>
        <v>0.35714285714285726</v>
      </c>
      <c r="I8" s="19">
        <f t="shared" ca="1" si="7"/>
        <v>0.95897604961028715</v>
      </c>
      <c r="J8" s="21"/>
    </row>
    <row r="9" spans="1:21">
      <c r="A9" s="17">
        <f t="shared" ca="1" si="0"/>
        <v>6</v>
      </c>
      <c r="B9" s="18">
        <f t="shared" ca="1" si="1"/>
        <v>6.7</v>
      </c>
      <c r="C9" s="18">
        <f t="shared" ca="1" si="2"/>
        <v>4.5999999999999996</v>
      </c>
      <c r="D9" s="19">
        <f t="shared" ca="1" si="4"/>
        <v>25.244272217129826</v>
      </c>
      <c r="E9" s="18">
        <f t="shared" ca="1" si="5"/>
        <v>85.378702854971067</v>
      </c>
      <c r="F9" s="68" t="str">
        <f t="shared" ca="1" si="6"/>
        <v/>
      </c>
      <c r="G9" s="19">
        <f t="shared" ca="1" si="3"/>
        <v>1.2454681022907529E-2</v>
      </c>
      <c r="H9" s="20">
        <f ca="1">D9/MAX(D9:D17)</f>
        <v>0.42857142857142871</v>
      </c>
      <c r="I9" s="19">
        <f t="shared" ca="1" si="7"/>
        <v>0.69141432927623026</v>
      </c>
      <c r="J9" s="21"/>
    </row>
    <row r="10" spans="1:21">
      <c r="A10" s="17">
        <f t="shared" ca="1" si="0"/>
        <v>7</v>
      </c>
      <c r="B10" s="18">
        <f t="shared" ca="1" si="1"/>
        <v>5</v>
      </c>
      <c r="C10" s="18">
        <f t="shared" ca="1" si="2"/>
        <v>3.9</v>
      </c>
      <c r="D10" s="19">
        <f t="shared" ca="1" si="4"/>
        <v>29.451650919984797</v>
      </c>
      <c r="E10" s="18">
        <f t="shared" ca="1" si="5"/>
        <v>85.378702854971067</v>
      </c>
      <c r="F10" s="68" t="str">
        <f t="shared" ca="1" si="6"/>
        <v/>
      </c>
      <c r="G10" s="19">
        <f t="shared" ca="1" si="3"/>
        <v>1.3930720899353856E-2</v>
      </c>
      <c r="H10" s="20">
        <f ca="1">D10/MAX(D10:D17)</f>
        <v>0.50000000000000022</v>
      </c>
      <c r="I10" s="19">
        <f t="shared" ca="1" si="7"/>
        <v>0.71414771275837741</v>
      </c>
      <c r="J10" s="21"/>
    </row>
    <row r="11" spans="1:21">
      <c r="A11" s="17">
        <f t="shared" ca="1" si="0"/>
        <v>8</v>
      </c>
      <c r="B11" s="18">
        <f t="shared" ca="1" si="1"/>
        <v>4.5</v>
      </c>
      <c r="C11" s="18">
        <f t="shared" ca="1" si="2"/>
        <v>3.4</v>
      </c>
      <c r="D11" s="19">
        <f t="shared" ca="1" si="4"/>
        <v>33.659029622839768</v>
      </c>
      <c r="E11" s="18">
        <f t="shared" ca="1" si="5"/>
        <v>85.378702854971067</v>
      </c>
      <c r="F11" s="68" t="str">
        <f t="shared" ca="1" si="6"/>
        <v/>
      </c>
      <c r="G11" s="19">
        <f t="shared" ca="1" si="3"/>
        <v>1.5090969793659301E-2</v>
      </c>
      <c r="H11" s="20">
        <f ca="1">D11/MAX(D11:D17)</f>
        <v>0.57142857142857162</v>
      </c>
      <c r="I11" s="19">
        <f t="shared" ca="1" si="7"/>
        <v>0.69211082318218087</v>
      </c>
      <c r="J11" s="21"/>
    </row>
    <row r="12" spans="1:21">
      <c r="A12" s="17">
        <f t="shared" ca="1" si="0"/>
        <v>9</v>
      </c>
      <c r="B12" s="18">
        <f t="shared" ca="1" si="1"/>
        <v>4</v>
      </c>
      <c r="C12" s="18">
        <f t="shared" ca="1" si="2"/>
        <v>2.7</v>
      </c>
      <c r="D12" s="19">
        <f t="shared" ca="1" si="4"/>
        <v>37.866408325694735</v>
      </c>
      <c r="E12" s="18">
        <f t="shared" ca="1" si="5"/>
        <v>85.378702854971067</v>
      </c>
      <c r="F12" s="68" t="str">
        <f t="shared" ca="1" si="6"/>
        <v/>
      </c>
      <c r="G12" s="19">
        <f t="shared" ca="1" si="3"/>
        <v>1.6879443793813832E-2</v>
      </c>
      <c r="H12" s="20">
        <f ca="1">D12/MAX(D12:D17)</f>
        <v>0.64285714285714302</v>
      </c>
      <c r="I12" s="19">
        <f t="shared" ca="1" si="7"/>
        <v>0.58554873114472938</v>
      </c>
      <c r="J12" s="21"/>
    </row>
    <row r="13" spans="1:21">
      <c r="A13" s="17">
        <f t="shared" ca="1" si="0"/>
        <v>10</v>
      </c>
      <c r="B13" s="18">
        <f t="shared" ca="1" si="1"/>
        <v>3.2</v>
      </c>
      <c r="C13" s="18">
        <f t="shared" ca="1" si="2"/>
        <v>2.2000000000000002</v>
      </c>
      <c r="D13" s="19">
        <f t="shared" ca="1" si="4"/>
        <v>42.073787028549702</v>
      </c>
      <c r="E13" s="18">
        <f t="shared" ca="1" si="5"/>
        <v>85.378702854971067</v>
      </c>
      <c r="F13" s="68" t="str">
        <f t="shared" ca="1" si="6"/>
        <v/>
      </c>
      <c r="G13" s="19">
        <f t="shared" ca="1" si="3"/>
        <v>1.8285283171384864E-2</v>
      </c>
      <c r="H13" s="20">
        <f ca="1">D13/MAX(D13:D17)</f>
        <v>0.71428571428571441</v>
      </c>
      <c r="I13" s="19">
        <f t="shared" ca="1" si="7"/>
        <v>0.50736441396119869</v>
      </c>
      <c r="J13" s="21"/>
    </row>
    <row r="14" spans="1:21">
      <c r="A14" s="17">
        <f t="shared" ca="1" si="0"/>
        <v>11</v>
      </c>
      <c r="B14" s="18">
        <f t="shared" ca="1" si="1"/>
        <v>2.6</v>
      </c>
      <c r="C14" s="18">
        <f t="shared" ca="1" si="2"/>
        <v>1.5</v>
      </c>
      <c r="D14" s="19">
        <f t="shared" ca="1" si="4"/>
        <v>46.28116573140467</v>
      </c>
      <c r="E14" s="18">
        <f t="shared" ca="1" si="5"/>
        <v>85.378702854971067</v>
      </c>
      <c r="F14" s="68" t="str">
        <f t="shared" ca="1" si="6"/>
        <v/>
      </c>
      <c r="G14" s="19">
        <f t="shared" ca="1" si="3"/>
        <v>2.045232438773039E-2</v>
      </c>
      <c r="H14" s="20">
        <f ca="1">D14/MAX(D14:D17)</f>
        <v>0.78571428571428581</v>
      </c>
      <c r="I14" s="19">
        <f t="shared" ca="1" si="7"/>
        <v>0.38266176761535042</v>
      </c>
      <c r="J14" s="21"/>
    </row>
    <row r="15" spans="1:21">
      <c r="A15" s="17">
        <f t="shared" ca="1" si="0"/>
        <v>12</v>
      </c>
      <c r="B15" s="18">
        <f t="shared" ca="1" si="1"/>
        <v>1.9</v>
      </c>
      <c r="C15" s="18">
        <f t="shared" ca="1" si="2"/>
        <v>1</v>
      </c>
      <c r="D15" s="19">
        <f t="shared" ca="1" si="4"/>
        <v>50.488544434259637</v>
      </c>
      <c r="E15" s="18">
        <f t="shared" ca="1" si="5"/>
        <v>85.378702854971067</v>
      </c>
      <c r="F15" s="68" t="str">
        <f t="shared" ca="1" si="6"/>
        <v/>
      </c>
      <c r="G15" s="19">
        <f t="shared" ca="1" si="3"/>
        <v>2.2155738513121494E-2</v>
      </c>
      <c r="H15" s="20">
        <f ca="1">D15/MAX(D15:D17)</f>
        <v>0.85714285714285721</v>
      </c>
      <c r="I15" s="19">
        <f t="shared" ca="1" si="7"/>
        <v>0.29468306575376235</v>
      </c>
      <c r="J15" s="21"/>
    </row>
    <row r="16" spans="1:21">
      <c r="A16" s="17">
        <f t="shared" ca="1" si="0"/>
        <v>13</v>
      </c>
      <c r="B16" s="18">
        <f t="shared" ca="1" si="1"/>
        <v>1.3</v>
      </c>
      <c r="C16" s="18">
        <f t="shared" ca="1" si="2"/>
        <v>0</v>
      </c>
      <c r="D16" s="19">
        <f t="shared" ca="1" si="4"/>
        <v>54.695923137114605</v>
      </c>
      <c r="E16" s="18">
        <f t="shared" ca="1" si="5"/>
        <v>85.378702854971067</v>
      </c>
      <c r="F16" s="68" t="str">
        <f t="shared" ca="1" si="6"/>
        <v/>
      </c>
      <c r="G16" s="19">
        <f t="shared" ca="1" si="3"/>
        <v>2.5999999999999999E-2</v>
      </c>
      <c r="H16" s="20">
        <f ca="1">D16/MAX(D16:D17)</f>
        <v>0.9285714285714286</v>
      </c>
      <c r="I16" s="19">
        <f t="shared" ca="1" si="7"/>
        <v>0.17266100627319564</v>
      </c>
      <c r="J16" s="21"/>
    </row>
    <row r="17" spans="1:10">
      <c r="A17" s="17">
        <f t="shared" ca="1" si="0"/>
        <v>14</v>
      </c>
      <c r="B17" s="18">
        <f t="shared" ca="1" si="1"/>
        <v>0</v>
      </c>
      <c r="C17" s="18">
        <f t="shared" ca="1" si="2"/>
        <v>0</v>
      </c>
      <c r="D17" s="19">
        <f t="shared" ca="1" si="4"/>
        <v>58.903301839969572</v>
      </c>
      <c r="E17" s="18">
        <f t="shared" ca="1" si="5"/>
        <v>85.378702854971067</v>
      </c>
      <c r="F17" s="68" t="str">
        <f t="shared" ca="1" si="6"/>
        <v>21Y</v>
      </c>
      <c r="G17" s="19">
        <f t="shared" ca="1" si="3"/>
        <v>2.5999999999999999E-2</v>
      </c>
      <c r="H17" s="20">
        <f ca="1">D17/MAX(D17:D17)</f>
        <v>1</v>
      </c>
      <c r="I17" s="19">
        <f t="shared" ca="1" si="7"/>
        <v>0.28617057396425083</v>
      </c>
      <c r="J17" s="21"/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43" sqref="E43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6A322F84-0F1E-4363-8221-F474A11947BB}"/>
</file>

<file path=customXml/itemProps2.xml><?xml version="1.0" encoding="utf-8"?>
<ds:datastoreItem xmlns:ds="http://schemas.openxmlformats.org/officeDocument/2006/customXml" ds:itemID="{8F38C16E-15D8-4DEB-B453-A0C02B9FAF30}"/>
</file>

<file path=customXml/itemProps3.xml><?xml version="1.0" encoding="utf-8"?>
<ds:datastoreItem xmlns:ds="http://schemas.openxmlformats.org/officeDocument/2006/customXml" ds:itemID="{8FB87935-55B1-4EDF-9EDE-D43C9F2AA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UT-GOM2-1-H005-11FB-1</vt:lpstr>
      <vt:lpstr>UT-GOM2-1-H005-11FB-1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