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date1904="1" showInkAnnotation="0" codeName="ThisWorkbook" autoCompressPictures="0"/>
  <bookViews>
    <workbookView xWindow="14880" yWindow="6640" windowWidth="30940" windowHeight="20100" tabRatio="623" activeTab="2"/>
  </bookViews>
  <sheets>
    <sheet name="UT-GOM2-1-H005-10FB-3" sheetId="27" r:id="rId1"/>
    <sheet name="UT-GOM2-1-H005-10FB-3 table" sheetId="30" r:id="rId2"/>
    <sheet name="graph" sheetId="31" r:id="rId3"/>
  </sheets>
  <definedNames>
    <definedName name="_xlnm.Print_Area" localSheetId="0">'UT-GOM2-1-H005-10FB-3'!#REF!</definedName>
    <definedName name="_xlnm.Print_Area" localSheetId="1">'UT-GOM2-1-H005-10FB-3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7" i="27" l="1"/>
  <c r="T16" i="27"/>
  <c r="T15" i="27"/>
  <c r="T14" i="27"/>
  <c r="T13" i="27"/>
  <c r="T12" i="27"/>
  <c r="T11" i="27"/>
  <c r="T10" i="27"/>
  <c r="T9" i="27"/>
  <c r="T8" i="27"/>
  <c r="T7" i="27"/>
  <c r="T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X2" i="27"/>
  <c r="X7" i="27"/>
  <c r="X8" i="27"/>
  <c r="W6" i="27"/>
  <c r="W7" i="27"/>
  <c r="W8" i="27"/>
  <c r="Y8" i="27"/>
  <c r="X9" i="27"/>
  <c r="W9" i="27"/>
  <c r="Y9" i="27"/>
  <c r="X10" i="27"/>
  <c r="W10" i="27"/>
  <c r="Y10" i="27"/>
  <c r="X11" i="27"/>
  <c r="W11" i="27"/>
  <c r="Y11" i="27"/>
  <c r="X12" i="27"/>
  <c r="W12" i="27"/>
  <c r="Y12" i="27"/>
  <c r="X13" i="27"/>
  <c r="W13" i="27"/>
  <c r="Y13" i="27"/>
  <c r="X14" i="27"/>
  <c r="W14" i="27"/>
  <c r="Y14" i="27"/>
  <c r="X15" i="27"/>
  <c r="W15" i="27"/>
  <c r="Y15" i="27"/>
  <c r="X16" i="27"/>
  <c r="W16" i="27"/>
  <c r="Y16" i="27"/>
  <c r="X17" i="27"/>
  <c r="W17" i="27"/>
  <c r="Y17" i="27"/>
  <c r="X18" i="27"/>
  <c r="W18" i="27"/>
  <c r="Y18" i="27"/>
  <c r="X19" i="27"/>
  <c r="W19" i="27"/>
  <c r="Y19" i="27"/>
  <c r="X20" i="27"/>
  <c r="W20" i="27"/>
  <c r="Y20" i="27"/>
  <c r="X21" i="27"/>
  <c r="W21" i="27"/>
  <c r="Y21" i="27"/>
  <c r="X22" i="27"/>
  <c r="W22" i="27"/>
  <c r="Y22" i="27"/>
  <c r="X23" i="27"/>
  <c r="W23" i="27"/>
  <c r="Y23" i="27"/>
  <c r="Y7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N2" i="27"/>
  <c r="S6" i="27"/>
  <c r="Q6" i="27"/>
  <c r="U6" i="27"/>
  <c r="V6" i="27"/>
  <c r="S7" i="27"/>
  <c r="Q7" i="27"/>
  <c r="U7" i="27"/>
  <c r="V7" i="27"/>
  <c r="S8" i="27"/>
  <c r="Q8" i="27"/>
  <c r="U8" i="27"/>
  <c r="V8" i="27"/>
  <c r="S9" i="27"/>
  <c r="Q9" i="27"/>
  <c r="U9" i="27"/>
  <c r="V9" i="27"/>
  <c r="S10" i="27"/>
  <c r="Q10" i="27"/>
  <c r="U10" i="27"/>
  <c r="V10" i="27"/>
  <c r="S11" i="27"/>
  <c r="Q11" i="27"/>
  <c r="U11" i="27"/>
  <c r="V11" i="27"/>
  <c r="S12" i="27"/>
  <c r="Q12" i="27"/>
  <c r="U12" i="27"/>
  <c r="V12" i="27"/>
  <c r="S13" i="27"/>
  <c r="Q13" i="27"/>
  <c r="U13" i="27"/>
  <c r="V13" i="27"/>
  <c r="S14" i="27"/>
  <c r="Q14" i="27"/>
  <c r="U14" i="27"/>
  <c r="V14" i="27"/>
  <c r="S15" i="27"/>
  <c r="Q15" i="27"/>
  <c r="U15" i="27"/>
  <c r="V15" i="27"/>
  <c r="S16" i="27"/>
  <c r="Q16" i="27"/>
  <c r="U16" i="27"/>
  <c r="V16" i="27"/>
  <c r="S17" i="27"/>
  <c r="Q17" i="27"/>
  <c r="U17" i="27"/>
  <c r="V17" i="27"/>
  <c r="S18" i="27"/>
  <c r="Q18" i="27"/>
  <c r="U18" i="27"/>
  <c r="V18" i="27"/>
  <c r="S19" i="27"/>
  <c r="Q19" i="27"/>
  <c r="U19" i="27"/>
  <c r="V19" i="27"/>
  <c r="S20" i="27"/>
  <c r="Q20" i="27"/>
  <c r="U20" i="27"/>
  <c r="V20" i="27"/>
  <c r="S21" i="27"/>
  <c r="Q21" i="27"/>
  <c r="U21" i="27"/>
  <c r="V21" i="27"/>
  <c r="S22" i="27"/>
  <c r="Q22" i="27"/>
  <c r="U22" i="27"/>
  <c r="V22" i="27"/>
  <c r="S23" i="27"/>
  <c r="Q23" i="27"/>
  <c r="U23" i="27"/>
  <c r="V23" i="27"/>
  <c r="Y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6" i="27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Z21" i="27"/>
  <c r="Z22" i="27"/>
  <c r="Z23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6" i="27"/>
  <c r="A1" i="30"/>
  <c r="E14" i="30"/>
  <c r="B5" i="30"/>
  <c r="C6" i="30"/>
  <c r="E11" i="30"/>
  <c r="B15" i="30"/>
  <c r="G8" i="30"/>
  <c r="F14" i="30"/>
  <c r="B16" i="30"/>
  <c r="I20" i="30"/>
  <c r="E16" i="30"/>
  <c r="A21" i="30"/>
  <c r="F16" i="30"/>
  <c r="C17" i="30"/>
  <c r="E20" i="30"/>
  <c r="G15" i="30"/>
  <c r="C15" i="30"/>
  <c r="G13" i="30"/>
  <c r="G16" i="30"/>
  <c r="C16" i="30"/>
  <c r="C11" i="30"/>
  <c r="I15" i="30"/>
  <c r="E21" i="30"/>
  <c r="G21" i="30"/>
  <c r="E8" i="30"/>
  <c r="F12" i="30"/>
  <c r="B8" i="30"/>
  <c r="G18" i="30"/>
  <c r="G11" i="30"/>
  <c r="A12" i="30"/>
  <c r="E9" i="30"/>
  <c r="I19" i="30"/>
  <c r="B7" i="30"/>
  <c r="G4" i="30"/>
  <c r="I11" i="30"/>
  <c r="B11" i="30"/>
  <c r="E4" i="30"/>
  <c r="F6" i="30"/>
  <c r="F15" i="30"/>
  <c r="D4" i="30"/>
  <c r="E12" i="30"/>
  <c r="G19" i="30"/>
  <c r="B17" i="30"/>
  <c r="A17" i="30"/>
  <c r="A4" i="30"/>
  <c r="I5" i="30"/>
  <c r="G14" i="30"/>
  <c r="B19" i="30"/>
  <c r="I6" i="30"/>
  <c r="B14" i="30"/>
  <c r="B21" i="30"/>
  <c r="B9" i="30"/>
  <c r="A9" i="30"/>
  <c r="C10" i="30"/>
  <c r="B10" i="30"/>
  <c r="F7" i="30"/>
  <c r="I13" i="30"/>
  <c r="G9" i="30"/>
  <c r="I16" i="30"/>
  <c r="A11" i="30"/>
  <c r="F20" i="30"/>
  <c r="B13" i="30"/>
  <c r="I17" i="30"/>
  <c r="A8" i="30"/>
  <c r="B18" i="30"/>
  <c r="C9" i="30"/>
  <c r="F5" i="30"/>
  <c r="E7" i="30"/>
  <c r="A14" i="30"/>
  <c r="C13" i="30"/>
  <c r="B6" i="30"/>
  <c r="F10" i="30"/>
  <c r="F13" i="30"/>
  <c r="C14" i="30"/>
  <c r="E13" i="30"/>
  <c r="A5" i="30"/>
  <c r="C7" i="30"/>
  <c r="F11" i="30"/>
  <c r="C8" i="30"/>
  <c r="A15" i="30"/>
  <c r="A20" i="30"/>
  <c r="G20" i="30"/>
  <c r="F8" i="30"/>
  <c r="C20" i="30"/>
  <c r="E19" i="30"/>
  <c r="A18" i="30"/>
  <c r="C12" i="30"/>
  <c r="B12" i="30"/>
  <c r="F21" i="30"/>
  <c r="I9" i="30"/>
  <c r="A13" i="30"/>
  <c r="A16" i="30"/>
  <c r="F18" i="30"/>
  <c r="F4" i="30"/>
  <c r="I10" i="30"/>
  <c r="G12" i="30"/>
  <c r="I21" i="30"/>
  <c r="C4" i="30"/>
  <c r="B4" i="30"/>
  <c r="G5" i="30"/>
  <c r="C5" i="30"/>
  <c r="A6" i="30"/>
  <c r="I4" i="30"/>
  <c r="I14" i="30"/>
  <c r="F9" i="30"/>
  <c r="C21" i="30"/>
  <c r="C18" i="30"/>
  <c r="I18" i="30"/>
  <c r="F17" i="30"/>
  <c r="G17" i="30"/>
  <c r="I12" i="30"/>
  <c r="G6" i="30"/>
  <c r="G10" i="30"/>
  <c r="A10" i="30"/>
  <c r="F19" i="30"/>
  <c r="E15" i="30"/>
  <c r="G7" i="30"/>
  <c r="A7" i="30"/>
  <c r="E17" i="30"/>
  <c r="E10" i="30"/>
  <c r="I8" i="30"/>
  <c r="E6" i="30"/>
  <c r="I7" i="30"/>
  <c r="C19" i="30"/>
  <c r="B20" i="30"/>
  <c r="A19" i="30"/>
  <c r="E18" i="30"/>
  <c r="E5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</calcChain>
</file>

<file path=xl/sharedStrings.xml><?xml version="1.0" encoding="utf-8"?>
<sst xmlns="http://schemas.openxmlformats.org/spreadsheetml/2006/main" count="76" uniqueCount="62">
  <si>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</si>
  <si>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</si>
  <si>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</si>
  <si>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</si>
  <si>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</si>
  <si>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</si>
  <si>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</si>
  <si>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</si>
  <si>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</si>
  <si>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</si>
  <si>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</si>
  <si>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</si>
  <si>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</si>
  <si>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</si>
  <si>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</si>
  <si>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</si>
  <si>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</si>
  <si>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</si>
  <si>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</si>
  <si>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</si>
  <si>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</si>
  <si>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</si>
  <si>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</si>
  <si>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</si>
  <si>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</si>
  <si>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</si>
  <si>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</si>
  <si>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</si>
  <si>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</si>
  <si>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</si>
  <si>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</si>
  <si>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</si>
  <si>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</si>
  <si>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</si>
  <si>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</si>
  <si>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</si>
  <si>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</si>
  <si>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</si>
  <si>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</si>
  <si>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</si>
  <si>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</si>
  <si>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</si>
  <si>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</si>
  <si>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</si>
  <si>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</si>
  <si>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</si>
  <si>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</si>
  <si>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</si>
  <si>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</si>
  <si>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</si>
  <si>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START</t>
  </si>
  <si>
    <t>UT-GOM2-1-H005-10FB-3</t>
  </si>
  <si>
    <t>1Y</t>
  </si>
  <si>
    <t>Cu tube 17</t>
  </si>
  <si>
    <t>2Y</t>
  </si>
  <si>
    <t>3Y</t>
  </si>
  <si>
    <t>4Y</t>
  </si>
  <si>
    <t>Cu tube 19</t>
  </si>
  <si>
    <t>5Y</t>
  </si>
  <si>
    <t>6Y</t>
  </si>
  <si>
    <t>UT-GOM2-1-H005-10FB-3 / 035-027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</si>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</sst>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"/>
  </numFmts>
  <fonts count="17" x14ac:knownFonts="1">
    <font>
      <sz val="10"/>
      <name val="Verdana"/>
    </font>
    <font>
      <b/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  <font>
      <b/>
      <sz val="10"/>
      <color theme="9" tint="-0.499984740745262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DE2C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1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8" fillId="0" borderId="0" xfId="2" applyFont="1"/>
    <xf numFmtId="2" fontId="9" fillId="0" borderId="0" xfId="2" applyNumberFormat="1" applyFont="1" applyBorder="1" applyAlignment="1">
      <alignment vertical="center"/>
    </xf>
    <xf numFmtId="0" fontId="8" fillId="0" borderId="0" xfId="2" applyFont="1" applyBorder="1"/>
    <xf numFmtId="0" fontId="10" fillId="2" borderId="1" xfId="2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/>
    </xf>
    <xf numFmtId="165" fontId="8" fillId="0" borderId="3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center"/>
    </xf>
    <xf numFmtId="9" fontId="8" fillId="0" borderId="3" xfId="3" applyFont="1" applyBorder="1" applyAlignment="1">
      <alignment horizontal="center"/>
    </xf>
    <xf numFmtId="0" fontId="8" fillId="0" borderId="0" xfId="2" applyFont="1" applyAlignment="1">
      <alignment horizontal="center"/>
    </xf>
    <xf numFmtId="2" fontId="11" fillId="0" borderId="0" xfId="2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164" fontId="1" fillId="0" borderId="16" xfId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164" fontId="1" fillId="0" borderId="15" xfId="1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1" fontId="13" fillId="0" borderId="0" xfId="0" applyNumberFormat="1" applyFont="1" applyFill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wrapText="1"/>
    </xf>
    <xf numFmtId="164" fontId="1" fillId="0" borderId="17" xfId="1" applyNumberFormat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/>
    </xf>
    <xf numFmtId="164" fontId="1" fillId="0" borderId="21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wrapText="1"/>
    </xf>
    <xf numFmtId="166" fontId="14" fillId="0" borderId="0" xfId="0" applyNumberFormat="1" applyFont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2" fontId="7" fillId="0" borderId="0" xfId="2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20" fontId="6" fillId="0" borderId="49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'UT-GOM2-1-H005-10FB-3'!$Z$4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'UT-GOM2-1-H005-10FB-3'!$Z$6:$Z$191</c:f>
              <c:numCache>
                <c:formatCode>0.00</c:formatCode>
                <c:ptCount val="186"/>
                <c:pt idx="0">
                  <c:v>0.0</c:v>
                </c:pt>
                <c:pt idx="1">
                  <c:v>0.575695790654437</c:v>
                </c:pt>
                <c:pt idx="2">
                  <c:v>0.915554556123874</c:v>
                </c:pt>
                <c:pt idx="3">
                  <c:v>0.858725158397249</c:v>
                </c:pt>
                <c:pt idx="4">
                  <c:v>0.852946423093232</c:v>
                </c:pt>
                <c:pt idx="5">
                  <c:v>0.876710025522424</c:v>
                </c:pt>
                <c:pt idx="6">
                  <c:v>0.936262507663482</c:v>
                </c:pt>
                <c:pt idx="7">
                  <c:v>1.16240615400513</c:v>
                </c:pt>
                <c:pt idx="8">
                  <c:v>1.312274403941877</c:v>
                </c:pt>
                <c:pt idx="9">
                  <c:v>1.586776654673668</c:v>
                </c:pt>
                <c:pt idx="10">
                  <c:v>1.845089133341474</c:v>
                </c:pt>
                <c:pt idx="11">
                  <c:v>2.21410696000977</c:v>
                </c:pt>
                <c:pt idx="12">
                  <c:v>3.286179943880954</c:v>
                </c:pt>
                <c:pt idx="13">
                  <c:v>5.702818806651471</c:v>
                </c:pt>
                <c:pt idx="14">
                  <c:v>6.75784339316689</c:v>
                </c:pt>
                <c:pt idx="15">
                  <c:v>6.642913049822264</c:v>
                </c:pt>
                <c:pt idx="16">
                  <c:v>6.944492478519283</c:v>
                </c:pt>
                <c:pt idx="17">
                  <c:v>7.20626992397325</c:v>
                </c:pt>
              </c:numCache>
            </c:numRef>
          </c:xVal>
          <c:yVal>
            <c:numRef>
              <c:f>'UT-GOM2-1-H005-10FB-3'!$AB$6:$AB$191</c:f>
              <c:numCache>
                <c:formatCode>0.0</c:formatCode>
                <c:ptCount val="186"/>
                <c:pt idx="0">
                  <c:v>20.5</c:v>
                </c:pt>
                <c:pt idx="1">
                  <c:v>15.8</c:v>
                </c:pt>
                <c:pt idx="2">
                  <c:v>10.0</c:v>
                </c:pt>
                <c:pt idx="3">
                  <c:v>6.8</c:v>
                </c:pt>
                <c:pt idx="4">
                  <c:v>5.2</c:v>
                </c:pt>
                <c:pt idx="5">
                  <c:v>4.5</c:v>
                </c:pt>
                <c:pt idx="6">
                  <c:v>4.1</c:v>
                </c:pt>
                <c:pt idx="7">
                  <c:v>4.1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2.4</c:v>
                </c:pt>
                <c:pt idx="13">
                  <c:v>2.4</c:v>
                </c:pt>
                <c:pt idx="14">
                  <c:v>1.3</c:v>
                </c:pt>
                <c:pt idx="15">
                  <c:v>0.2</c:v>
                </c:pt>
                <c:pt idx="16">
                  <c:v>0.0</c:v>
                </c:pt>
                <c:pt idx="1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'UT-GOM2-1-H005-10FB-3'!$U$4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'UT-GOM2-1-H005-10FB-3'!$V$6:$V$191</c:f>
              <c:numCache>
                <c:formatCode>0.00</c:formatCode>
                <c:ptCount val="18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0.721014706081515</c:v>
                </c:pt>
                <c:pt idx="13">
                  <c:v>2.420559210943285</c:v>
                </c:pt>
                <c:pt idx="14">
                  <c:v>4.268194818472413</c:v>
                </c:pt>
                <c:pt idx="15">
                  <c:v>6.022576290847784</c:v>
                </c:pt>
                <c:pt idx="16">
                  <c:v>6.726701485028152</c:v>
                </c:pt>
                <c:pt idx="17">
                  <c:v>6.981872304740615</c:v>
                </c:pt>
              </c:numCache>
            </c:numRef>
          </c:xVal>
          <c:yVal>
            <c:numRef>
              <c:f>'UT-GOM2-1-H005-10FB-3'!$AB$6:$AB$191</c:f>
              <c:numCache>
                <c:formatCode>0.0</c:formatCode>
                <c:ptCount val="186"/>
                <c:pt idx="0">
                  <c:v>20.5</c:v>
                </c:pt>
                <c:pt idx="1">
                  <c:v>15.8</c:v>
                </c:pt>
                <c:pt idx="2">
                  <c:v>10.0</c:v>
                </c:pt>
                <c:pt idx="3">
                  <c:v>6.8</c:v>
                </c:pt>
                <c:pt idx="4">
                  <c:v>5.2</c:v>
                </c:pt>
                <c:pt idx="5">
                  <c:v>4.5</c:v>
                </c:pt>
                <c:pt idx="6">
                  <c:v>4.1</c:v>
                </c:pt>
                <c:pt idx="7">
                  <c:v>4.1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2.4</c:v>
                </c:pt>
                <c:pt idx="13">
                  <c:v>2.4</c:v>
                </c:pt>
                <c:pt idx="14">
                  <c:v>1.3</c:v>
                </c:pt>
                <c:pt idx="15">
                  <c:v>0.2</c:v>
                </c:pt>
                <c:pt idx="16">
                  <c:v>0.0</c:v>
                </c:pt>
                <c:pt idx="17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'UT-GOM2-1-H005-10FB-3'!$W$4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'UT-GOM2-1-H005-10FB-3'!$Y$6:$Y$191</c:f>
              <c:numCache>
                <c:formatCode>0.00</c:formatCode>
                <c:ptCount val="186"/>
                <c:pt idx="0">
                  <c:v>0.0</c:v>
                </c:pt>
                <c:pt idx="1">
                  <c:v>0.575695790654437</c:v>
                </c:pt>
                <c:pt idx="2">
                  <c:v>0.915554556123874</c:v>
                </c:pt>
                <c:pt idx="3">
                  <c:v>0.858725158397249</c:v>
                </c:pt>
                <c:pt idx="4">
                  <c:v>0.852946423093232</c:v>
                </c:pt>
                <c:pt idx="5">
                  <c:v>0.876710025522424</c:v>
                </c:pt>
                <c:pt idx="6">
                  <c:v>0.936262507663482</c:v>
                </c:pt>
                <c:pt idx="7">
                  <c:v>1.16240615400513</c:v>
                </c:pt>
                <c:pt idx="8">
                  <c:v>1.312274403941877</c:v>
                </c:pt>
                <c:pt idx="9">
                  <c:v>1.586776654673668</c:v>
                </c:pt>
                <c:pt idx="10">
                  <c:v>1.845089133341474</c:v>
                </c:pt>
                <c:pt idx="11">
                  <c:v>2.21410696000977</c:v>
                </c:pt>
                <c:pt idx="12">
                  <c:v>2.56516523779944</c:v>
                </c:pt>
                <c:pt idx="13">
                  <c:v>3.282259595708187</c:v>
                </c:pt>
                <c:pt idx="14">
                  <c:v>2.489648574694478</c:v>
                </c:pt>
                <c:pt idx="15">
                  <c:v>0.62033675897448</c:v>
                </c:pt>
                <c:pt idx="16">
                  <c:v>0.217790993491131</c:v>
                </c:pt>
                <c:pt idx="17">
                  <c:v>0.224397619232636</c:v>
                </c:pt>
              </c:numCache>
            </c:numRef>
          </c:xVal>
          <c:yVal>
            <c:numRef>
              <c:f>'UT-GOM2-1-H005-10FB-3'!$AB$6:$AB$191</c:f>
              <c:numCache>
                <c:formatCode>0.0</c:formatCode>
                <c:ptCount val="186"/>
                <c:pt idx="0">
                  <c:v>20.5</c:v>
                </c:pt>
                <c:pt idx="1">
                  <c:v>15.8</c:v>
                </c:pt>
                <c:pt idx="2">
                  <c:v>10.0</c:v>
                </c:pt>
                <c:pt idx="3">
                  <c:v>6.8</c:v>
                </c:pt>
                <c:pt idx="4">
                  <c:v>5.2</c:v>
                </c:pt>
                <c:pt idx="5">
                  <c:v>4.5</c:v>
                </c:pt>
                <c:pt idx="6">
                  <c:v>4.1</c:v>
                </c:pt>
                <c:pt idx="7">
                  <c:v>4.1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2.4</c:v>
                </c:pt>
                <c:pt idx="13">
                  <c:v>2.4</c:v>
                </c:pt>
                <c:pt idx="14">
                  <c:v>1.3</c:v>
                </c:pt>
                <c:pt idx="15">
                  <c:v>0.2</c:v>
                </c:pt>
                <c:pt idx="16">
                  <c:v>0.0</c:v>
                </c:pt>
                <c:pt idx="1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2461672"/>
        <c:axId val="-2095893384"/>
      </c:scatterChart>
      <c:valAx>
        <c:axId val="-2092461672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06797775"/>
              <c:y val="0.9517441368216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5893384"/>
        <c:crosses val="autoZero"/>
        <c:crossBetween val="midCat"/>
        <c:minorUnit val="1.0"/>
      </c:valAx>
      <c:valAx>
        <c:axId val="-2095893384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4955104296"/>
              <c:y val="0.406135297603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2461672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539137751"/>
          <c:y val="0.144544577089154"/>
          <c:w val="0.312371748985923"/>
          <c:h val="0.105055964778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673100</xdr:colOff>
      <xdr:row>2</xdr:row>
      <xdr:rowOff>101600</xdr:rowOff>
    </xdr:from>
    <xdr:to>
      <xdr:col>11</xdr:col>
      <xdr:colOff>101600</xdr:colOff>
      <xdr:row>38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UT-GOM2-1-H005-10FB-3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983"/>
  <sheetViews>
    <sheetView zoomScale="75" zoomScaleNormal="75" zoomScalePageLayoutView="75" workbookViewId="0">
      <selection activeCell="O47" sqref="O47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90" t="s">
        <v>1</v>
      </c>
      <c r="B1" s="91"/>
      <c r="C1" s="91"/>
      <c r="D1" s="91"/>
      <c r="E1" s="91"/>
      <c r="F1" s="92">
        <v>41420</v>
      </c>
      <c r="G1" s="93"/>
      <c r="H1" s="94"/>
      <c r="I1" s="95" t="s">
        <v>11</v>
      </c>
      <c r="J1" s="91"/>
      <c r="K1" s="91"/>
      <c r="L1" s="93" t="s">
        <v>60</v>
      </c>
      <c r="M1" s="93"/>
      <c r="N1" s="94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108" t="s">
        <v>10</v>
      </c>
      <c r="B2" s="109"/>
      <c r="C2" s="109"/>
      <c r="D2" s="109"/>
      <c r="E2" s="109"/>
      <c r="F2" s="110">
        <v>1015</v>
      </c>
      <c r="G2" s="110"/>
      <c r="H2" s="111"/>
      <c r="I2" s="112" t="s">
        <v>4</v>
      </c>
      <c r="J2" s="109"/>
      <c r="K2" s="109"/>
      <c r="L2" s="110" t="s">
        <v>61</v>
      </c>
      <c r="M2" s="110"/>
      <c r="N2" s="67">
        <f>IF(L2="red",4025, IF(L2="green",4140,IF(L2="yellow",4122,IF(L2="blue",4059,0))))</f>
        <v>4122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71">
        <f>IF(VALUE(LEFT(RIGHT(L1,7),3))=35,26,90)</f>
        <v>26</v>
      </c>
      <c r="Y2" s="4"/>
      <c r="Z2" s="4" t="s">
        <v>13</v>
      </c>
    </row>
    <row r="3" spans="1:28" ht="25" customHeight="1" thickBot="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  <c r="Q3" s="81" t="s">
        <v>35</v>
      </c>
      <c r="R3" s="82"/>
      <c r="S3" s="83"/>
    </row>
    <row r="4" spans="1:28" ht="25" customHeight="1">
      <c r="A4" s="104" t="s">
        <v>17</v>
      </c>
      <c r="B4" s="96" t="s">
        <v>16</v>
      </c>
      <c r="C4" s="106" t="s">
        <v>28</v>
      </c>
      <c r="D4" s="98" t="s">
        <v>31</v>
      </c>
      <c r="E4" s="100"/>
      <c r="F4" s="98" t="s">
        <v>3</v>
      </c>
      <c r="G4" s="99"/>
      <c r="H4" s="56"/>
      <c r="I4" s="73" t="s">
        <v>2</v>
      </c>
      <c r="J4" s="73"/>
      <c r="K4" s="73"/>
      <c r="L4" s="74"/>
      <c r="M4" s="86" t="s">
        <v>26</v>
      </c>
      <c r="N4" s="88" t="s">
        <v>29</v>
      </c>
      <c r="O4" s="80" t="s">
        <v>34</v>
      </c>
      <c r="P4" s="79"/>
      <c r="Q4" s="47" t="s">
        <v>37</v>
      </c>
      <c r="R4" s="84" t="s">
        <v>36</v>
      </c>
      <c r="S4" s="85"/>
      <c r="T4" s="51" t="s">
        <v>38</v>
      </c>
      <c r="U4" s="78" t="s">
        <v>32</v>
      </c>
      <c r="V4" s="79"/>
      <c r="W4" s="75" t="s">
        <v>45</v>
      </c>
      <c r="X4" s="76"/>
      <c r="Y4" s="77"/>
      <c r="Z4" s="51" t="s">
        <v>33</v>
      </c>
      <c r="AB4" s="51" t="s">
        <v>48</v>
      </c>
    </row>
    <row r="5" spans="1:28" s="4" customFormat="1" ht="77.25" customHeight="1" thickBot="1">
      <c r="A5" s="105"/>
      <c r="B5" s="97"/>
      <c r="C5" s="107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87"/>
      <c r="N5" s="89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" customHeight="1">
      <c r="A6" s="23">
        <v>1</v>
      </c>
      <c r="B6" s="24">
        <v>41420</v>
      </c>
      <c r="C6" s="25">
        <v>0.3263888888888889</v>
      </c>
      <c r="D6" s="26">
        <v>205</v>
      </c>
      <c r="E6" s="27">
        <v>205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7</v>
      </c>
      <c r="M6" s="26"/>
      <c r="N6" s="33" t="s">
        <v>50</v>
      </c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4122</v>
      </c>
      <c r="S6" s="63">
        <f>IF(I6=J6,0,R6*(J6-I6))*273/(273+L6)</f>
        <v>0</v>
      </c>
      <c r="T6" s="118">
        <f t="shared" ref="T6:T16" si="2">T7</f>
        <v>94.619955555973064</v>
      </c>
      <c r="U6" s="61">
        <f>(S6+Q6)*T6/100</f>
        <v>0</v>
      </c>
      <c r="V6" s="64">
        <f>U6/1000</f>
        <v>0</v>
      </c>
      <c r="W6" s="64">
        <f>(G6+K6)/1000</f>
        <v>0</v>
      </c>
      <c r="X6" s="72">
        <v>0</v>
      </c>
      <c r="Y6" s="64">
        <f>(W6-X6)*(E6+1)*1*273/(273+L6)*T6/100</f>
        <v>0</v>
      </c>
      <c r="Z6" s="64">
        <f>V6+Y6</f>
        <v>0</v>
      </c>
      <c r="AB6" s="70">
        <f>E6/10</f>
        <v>20.5</v>
      </c>
    </row>
    <row r="7" spans="1:28" s="40" customFormat="1" ht="20" customHeight="1">
      <c r="A7" s="35">
        <f>A6+1</f>
        <v>2</v>
      </c>
      <c r="B7" s="24">
        <v>41420</v>
      </c>
      <c r="C7" s="25">
        <v>0.3263888888888889</v>
      </c>
      <c r="D7" s="26">
        <v>205</v>
      </c>
      <c r="E7" s="27">
        <v>158</v>
      </c>
      <c r="F7" s="36">
        <v>0</v>
      </c>
      <c r="G7" s="29">
        <v>6</v>
      </c>
      <c r="H7" s="37"/>
      <c r="I7" s="31">
        <v>1</v>
      </c>
      <c r="J7" s="31">
        <v>1</v>
      </c>
      <c r="K7" s="32">
        <v>0</v>
      </c>
      <c r="L7" s="27">
        <v>7</v>
      </c>
      <c r="M7" s="38"/>
      <c r="N7" s="39"/>
      <c r="O7" s="61">
        <f t="shared" ref="O7:O20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4122</v>
      </c>
      <c r="S7" s="63">
        <f t="shared" ref="S7:S20" si="4">IF(I7=J7,0,R7*(J7-I7))*273/(273+L7)</f>
        <v>0</v>
      </c>
      <c r="T7" s="118">
        <f t="shared" si="2"/>
        <v>94.619955555973064</v>
      </c>
      <c r="U7" s="61">
        <f>(S7+Q7)*T7/100</f>
        <v>0</v>
      </c>
      <c r="V7" s="64">
        <f>V6+U7/1000</f>
        <v>0</v>
      </c>
      <c r="W7" s="64">
        <f>W6+(G7+K7)/1000</f>
        <v>6.0000000000000001E-3</v>
      </c>
      <c r="X7" s="72">
        <f>X$2/1000*EXP(-0.016*E7)</f>
        <v>2.075280941520164E-3</v>
      </c>
      <c r="Y7" s="64">
        <f>(W7-(X7-X6))*(E7+1)*1*273/(273+L7)*T7/100</f>
        <v>0.57569579065443666</v>
      </c>
      <c r="Z7" s="64">
        <f>V7+Y7</f>
        <v>0.57569579065443666</v>
      </c>
      <c r="AB7" s="70">
        <f t="shared" ref="AB7:AB23" si="5">E7/10</f>
        <v>15.8</v>
      </c>
    </row>
    <row r="8" spans="1:28" s="40" customFormat="1" ht="20" customHeight="1">
      <c r="A8" s="35">
        <f t="shared" ref="A8:A23" si="6">A7+1</f>
        <v>3</v>
      </c>
      <c r="B8" s="24">
        <v>41420</v>
      </c>
      <c r="C8" s="25">
        <v>0.32777777777777778</v>
      </c>
      <c r="D8" s="26">
        <v>158</v>
      </c>
      <c r="E8" s="27">
        <v>100</v>
      </c>
      <c r="F8" s="36">
        <v>0</v>
      </c>
      <c r="G8" s="29">
        <v>7</v>
      </c>
      <c r="H8" s="37"/>
      <c r="I8" s="31">
        <v>1</v>
      </c>
      <c r="J8" s="31">
        <v>1</v>
      </c>
      <c r="K8" s="32">
        <v>0</v>
      </c>
      <c r="L8" s="27">
        <v>7</v>
      </c>
      <c r="M8" s="38"/>
      <c r="N8" s="39"/>
      <c r="O8" s="61">
        <f t="shared" si="3"/>
        <v>1.9999999960418791</v>
      </c>
      <c r="P8" s="64">
        <f t="shared" ref="P8:P20" si="7">P7+O8/60</f>
        <v>3.3333333267364651E-2</v>
      </c>
      <c r="Q8" s="61">
        <f t="shared" si="0"/>
        <v>0</v>
      </c>
      <c r="R8" s="62">
        <f t="shared" si="1"/>
        <v>4122</v>
      </c>
      <c r="S8" s="63">
        <f t="shared" si="4"/>
        <v>0</v>
      </c>
      <c r="T8" s="118">
        <f t="shared" si="2"/>
        <v>94.619955555973064</v>
      </c>
      <c r="U8" s="61">
        <f t="shared" ref="U8:U20" si="8">(S8+Q8)*T8/100</f>
        <v>0</v>
      </c>
      <c r="V8" s="64">
        <f>V7+U8/1000</f>
        <v>0</v>
      </c>
      <c r="W8" s="64">
        <f t="shared" ref="W8:W20" si="9">W7+(G8+K8)/1000</f>
        <v>1.3000000000000001E-2</v>
      </c>
      <c r="X8" s="72">
        <f t="shared" ref="X8:X23" si="10">X$2/1000*EXP(-0.016*E8)</f>
        <v>5.2493094678610396E-3</v>
      </c>
      <c r="Y8" s="64">
        <f t="shared" ref="Y8:Y23" si="11">(W8-(X8-X7))*(E8+1)*1*273/(273+L8)*T8/100</f>
        <v>0.91555455612387437</v>
      </c>
      <c r="Z8" s="64">
        <f t="shared" ref="Z8:Z20" si="12">V8+Y8</f>
        <v>0.91555455612387437</v>
      </c>
      <c r="AB8" s="70">
        <f t="shared" si="5"/>
        <v>10</v>
      </c>
    </row>
    <row r="9" spans="1:28" s="40" customFormat="1" ht="20" customHeight="1">
      <c r="A9" s="35">
        <f t="shared" si="6"/>
        <v>4</v>
      </c>
      <c r="B9" s="24">
        <v>41420</v>
      </c>
      <c r="C9" s="25">
        <v>0.32916666666666666</v>
      </c>
      <c r="D9" s="26">
        <v>101</v>
      </c>
      <c r="E9" s="27">
        <v>68</v>
      </c>
      <c r="F9" s="36">
        <v>0</v>
      </c>
      <c r="G9" s="29">
        <v>4</v>
      </c>
      <c r="H9" s="37"/>
      <c r="I9" s="31">
        <v>1</v>
      </c>
      <c r="J9" s="31">
        <v>1</v>
      </c>
      <c r="K9" s="32">
        <v>0</v>
      </c>
      <c r="L9" s="27">
        <v>7</v>
      </c>
      <c r="M9" s="38"/>
      <c r="N9" s="39"/>
      <c r="O9" s="61">
        <f t="shared" si="3"/>
        <v>2.000000006519258</v>
      </c>
      <c r="P9" s="64">
        <f t="shared" si="7"/>
        <v>6.6666666709352285E-2</v>
      </c>
      <c r="Q9" s="61">
        <f t="shared" si="0"/>
        <v>0</v>
      </c>
      <c r="R9" s="62">
        <f t="shared" si="1"/>
        <v>4122</v>
      </c>
      <c r="S9" s="63">
        <f t="shared" si="4"/>
        <v>0</v>
      </c>
      <c r="T9" s="118">
        <f t="shared" si="2"/>
        <v>94.619955555973064</v>
      </c>
      <c r="U9" s="61">
        <f t="shared" si="8"/>
        <v>0</v>
      </c>
      <c r="V9" s="64">
        <f>V8+U9/1000</f>
        <v>0</v>
      </c>
      <c r="W9" s="64">
        <f t="shared" si="9"/>
        <v>1.7000000000000001E-2</v>
      </c>
      <c r="X9" s="72">
        <f t="shared" si="10"/>
        <v>8.7591295889668241E-3</v>
      </c>
      <c r="Y9" s="64">
        <f t="shared" si="11"/>
        <v>0.85872515839724883</v>
      </c>
      <c r="Z9" s="64">
        <f t="shared" si="12"/>
        <v>0.85872515839724883</v>
      </c>
      <c r="AB9" s="70">
        <f t="shared" si="5"/>
        <v>6.8</v>
      </c>
    </row>
    <row r="10" spans="1:28" s="40" customFormat="1" ht="20" customHeight="1">
      <c r="A10" s="35">
        <f t="shared" si="6"/>
        <v>5</v>
      </c>
      <c r="B10" s="24">
        <v>41420</v>
      </c>
      <c r="C10" s="25">
        <v>0.33124999999999999</v>
      </c>
      <c r="D10" s="26">
        <v>68</v>
      </c>
      <c r="E10" s="27">
        <v>52</v>
      </c>
      <c r="F10" s="36">
        <v>0</v>
      </c>
      <c r="G10" s="29">
        <v>3</v>
      </c>
      <c r="H10" s="37"/>
      <c r="I10" s="31">
        <v>1</v>
      </c>
      <c r="J10" s="31">
        <v>1</v>
      </c>
      <c r="K10" s="32">
        <v>0</v>
      </c>
      <c r="L10" s="27">
        <v>7</v>
      </c>
      <c r="M10" s="38"/>
      <c r="N10" s="39"/>
      <c r="O10" s="61">
        <f t="shared" si="3"/>
        <v>2.9999999993015081</v>
      </c>
      <c r="P10" s="64">
        <f t="shared" si="7"/>
        <v>0.11666666669771075</v>
      </c>
      <c r="Q10" s="61">
        <f t="shared" si="0"/>
        <v>0</v>
      </c>
      <c r="R10" s="62">
        <f t="shared" si="1"/>
        <v>4122</v>
      </c>
      <c r="S10" s="63">
        <f t="shared" si="4"/>
        <v>0</v>
      </c>
      <c r="T10" s="118">
        <f t="shared" si="2"/>
        <v>94.619955555973064</v>
      </c>
      <c r="U10" s="61">
        <f t="shared" si="8"/>
        <v>0</v>
      </c>
      <c r="V10" s="64">
        <f>V9+U10/1000</f>
        <v>0</v>
      </c>
      <c r="W10" s="64">
        <f t="shared" si="9"/>
        <v>0.02</v>
      </c>
      <c r="X10" s="72">
        <f t="shared" si="10"/>
        <v>1.1314629540925273E-2</v>
      </c>
      <c r="Y10" s="64">
        <f t="shared" si="11"/>
        <v>0.85294642309323199</v>
      </c>
      <c r="Z10" s="64">
        <f t="shared" si="12"/>
        <v>0.85294642309323199</v>
      </c>
      <c r="AB10" s="70">
        <f t="shared" si="5"/>
        <v>5.2</v>
      </c>
    </row>
    <row r="11" spans="1:28" s="40" customFormat="1" ht="20" customHeight="1">
      <c r="A11" s="35">
        <f t="shared" si="6"/>
        <v>6</v>
      </c>
      <c r="B11" s="24">
        <v>41420</v>
      </c>
      <c r="C11" s="25">
        <v>0.33263888888888887</v>
      </c>
      <c r="D11" s="26">
        <v>53</v>
      </c>
      <c r="E11" s="27">
        <v>45</v>
      </c>
      <c r="F11" s="36">
        <v>0</v>
      </c>
      <c r="G11" s="29">
        <v>2</v>
      </c>
      <c r="H11" s="37"/>
      <c r="I11" s="31">
        <v>1</v>
      </c>
      <c r="J11" s="31">
        <v>1</v>
      </c>
      <c r="K11" s="32">
        <v>0</v>
      </c>
      <c r="L11" s="27">
        <v>7</v>
      </c>
      <c r="M11" s="38"/>
      <c r="N11" s="39"/>
      <c r="O11" s="61">
        <f t="shared" si="3"/>
        <v>1.9999999960418791</v>
      </c>
      <c r="P11" s="64">
        <f t="shared" si="7"/>
        <v>0.1499999999650754</v>
      </c>
      <c r="Q11" s="61">
        <f t="shared" si="0"/>
        <v>0</v>
      </c>
      <c r="R11" s="62">
        <f t="shared" si="1"/>
        <v>4122</v>
      </c>
      <c r="S11" s="63">
        <f t="shared" si="4"/>
        <v>0</v>
      </c>
      <c r="T11" s="118">
        <f t="shared" si="2"/>
        <v>94.619955555973064</v>
      </c>
      <c r="U11" s="61">
        <f t="shared" si="8"/>
        <v>0</v>
      </c>
      <c r="V11" s="64">
        <f t="shared" ref="V11:V20" si="13">V10+U11/1000</f>
        <v>0</v>
      </c>
      <c r="W11" s="64">
        <f t="shared" si="9"/>
        <v>2.1999999999999999E-2</v>
      </c>
      <c r="X11" s="72">
        <f t="shared" si="10"/>
        <v>1.2655558654959263E-2</v>
      </c>
      <c r="Y11" s="64">
        <f t="shared" si="11"/>
        <v>0.87671002552242372</v>
      </c>
      <c r="Z11" s="64">
        <f t="shared" si="12"/>
        <v>0.87671002552242372</v>
      </c>
      <c r="AB11" s="70">
        <f t="shared" si="5"/>
        <v>4.5</v>
      </c>
    </row>
    <row r="12" spans="1:28" s="40" customFormat="1" ht="20" customHeight="1">
      <c r="A12" s="35">
        <f t="shared" si="6"/>
        <v>7</v>
      </c>
      <c r="B12" s="24">
        <v>41420</v>
      </c>
      <c r="C12" s="25">
        <v>0.35416666666666669</v>
      </c>
      <c r="D12" s="26">
        <v>49</v>
      </c>
      <c r="E12" s="27">
        <v>41</v>
      </c>
      <c r="F12" s="36">
        <v>0</v>
      </c>
      <c r="G12" s="29">
        <v>3</v>
      </c>
      <c r="H12" s="37"/>
      <c r="I12" s="31">
        <v>1</v>
      </c>
      <c r="J12" s="31">
        <v>1</v>
      </c>
      <c r="K12" s="32">
        <v>0</v>
      </c>
      <c r="L12" s="27">
        <v>7</v>
      </c>
      <c r="M12" s="38"/>
      <c r="N12" s="39"/>
      <c r="O12" s="61">
        <f t="shared" si="3"/>
        <v>30.99999999627471</v>
      </c>
      <c r="P12" s="64">
        <f t="shared" si="7"/>
        <v>0.6666666665696539</v>
      </c>
      <c r="Q12" s="61">
        <f t="shared" si="0"/>
        <v>0</v>
      </c>
      <c r="R12" s="62">
        <f t="shared" si="1"/>
        <v>4122</v>
      </c>
      <c r="S12" s="63">
        <f t="shared" si="4"/>
        <v>0</v>
      </c>
      <c r="T12" s="118">
        <f t="shared" si="2"/>
        <v>94.619955555973064</v>
      </c>
      <c r="U12" s="61">
        <f t="shared" si="8"/>
        <v>0</v>
      </c>
      <c r="V12" s="64">
        <f t="shared" si="13"/>
        <v>0</v>
      </c>
      <c r="W12" s="64">
        <f t="shared" si="9"/>
        <v>2.4999999999999998E-2</v>
      </c>
      <c r="X12" s="72">
        <f t="shared" si="10"/>
        <v>1.349199488413245E-2</v>
      </c>
      <c r="Y12" s="64">
        <f t="shared" si="11"/>
        <v>0.93626250766348218</v>
      </c>
      <c r="Z12" s="64">
        <f t="shared" si="12"/>
        <v>0.93626250766348218</v>
      </c>
      <c r="AB12" s="70">
        <f t="shared" si="5"/>
        <v>4.0999999999999996</v>
      </c>
    </row>
    <row r="13" spans="1:28" s="40" customFormat="1" ht="20" customHeight="1">
      <c r="A13" s="35">
        <f t="shared" si="6"/>
        <v>8</v>
      </c>
      <c r="B13" s="24">
        <v>41420</v>
      </c>
      <c r="C13" s="25">
        <v>0.38263888888888892</v>
      </c>
      <c r="D13" s="26">
        <v>49</v>
      </c>
      <c r="E13" s="114">
        <v>41</v>
      </c>
      <c r="F13" s="36">
        <v>0</v>
      </c>
      <c r="G13" s="29">
        <v>5</v>
      </c>
      <c r="H13" s="37"/>
      <c r="I13" s="31">
        <v>1</v>
      </c>
      <c r="J13" s="31">
        <v>1</v>
      </c>
      <c r="K13" s="32">
        <v>0</v>
      </c>
      <c r="L13" s="27">
        <v>7</v>
      </c>
      <c r="M13" s="38"/>
      <c r="N13" s="39"/>
      <c r="O13" s="61">
        <f t="shared" si="3"/>
        <v>41.000000007916242</v>
      </c>
      <c r="P13" s="64">
        <f t="shared" si="7"/>
        <v>1.3500000000349246</v>
      </c>
      <c r="Q13" s="61">
        <f t="shared" si="0"/>
        <v>0</v>
      </c>
      <c r="R13" s="62">
        <f t="shared" si="1"/>
        <v>4122</v>
      </c>
      <c r="S13" s="63">
        <f t="shared" si="4"/>
        <v>0</v>
      </c>
      <c r="T13" s="118">
        <f t="shared" si="2"/>
        <v>94.619955555973064</v>
      </c>
      <c r="U13" s="61">
        <f t="shared" si="8"/>
        <v>0</v>
      </c>
      <c r="V13" s="64">
        <f t="shared" si="13"/>
        <v>0</v>
      </c>
      <c r="W13" s="64">
        <f t="shared" si="9"/>
        <v>0.03</v>
      </c>
      <c r="X13" s="72">
        <f t="shared" si="10"/>
        <v>1.349199488413245E-2</v>
      </c>
      <c r="Y13" s="64">
        <f t="shared" si="11"/>
        <v>1.1624061540051291</v>
      </c>
      <c r="Z13" s="64">
        <f t="shared" si="12"/>
        <v>1.1624061540051291</v>
      </c>
      <c r="AB13" s="70">
        <f t="shared" si="5"/>
        <v>4.0999999999999996</v>
      </c>
    </row>
    <row r="14" spans="1:28" s="40" customFormat="1" ht="20" customHeight="1">
      <c r="A14" s="35">
        <f t="shared" si="6"/>
        <v>9</v>
      </c>
      <c r="B14" s="24">
        <v>41420</v>
      </c>
      <c r="C14" s="115">
        <v>0.41597222222222219</v>
      </c>
      <c r="D14" s="38">
        <v>49</v>
      </c>
      <c r="E14" s="116">
        <v>39</v>
      </c>
      <c r="F14" s="36">
        <v>0</v>
      </c>
      <c r="G14" s="29">
        <v>6</v>
      </c>
      <c r="H14" s="37"/>
      <c r="I14" s="31">
        <v>1</v>
      </c>
      <c r="J14" s="31">
        <v>1</v>
      </c>
      <c r="K14" s="32">
        <v>0</v>
      </c>
      <c r="L14" s="27">
        <v>7</v>
      </c>
      <c r="M14" s="38"/>
      <c r="N14" s="39"/>
      <c r="O14" s="61">
        <f t="shared" si="3"/>
        <v>47.999999999301508</v>
      </c>
      <c r="P14" s="64">
        <f t="shared" si="7"/>
        <v>2.1500000000232831</v>
      </c>
      <c r="Q14" s="61">
        <f t="shared" si="0"/>
        <v>0</v>
      </c>
      <c r="R14" s="62">
        <f t="shared" si="1"/>
        <v>4122</v>
      </c>
      <c r="S14" s="63">
        <f t="shared" si="4"/>
        <v>0</v>
      </c>
      <c r="T14" s="118">
        <f t="shared" si="2"/>
        <v>94.619955555973064</v>
      </c>
      <c r="U14" s="61">
        <f t="shared" si="8"/>
        <v>0</v>
      </c>
      <c r="V14" s="64">
        <f t="shared" si="13"/>
        <v>0</v>
      </c>
      <c r="W14" s="64">
        <f t="shared" si="9"/>
        <v>3.5999999999999997E-2</v>
      </c>
      <c r="X14" s="72">
        <f t="shared" si="10"/>
        <v>1.3930720899353856E-2</v>
      </c>
      <c r="Y14" s="64">
        <f t="shared" si="11"/>
        <v>1.3122744039418774</v>
      </c>
      <c r="Z14" s="64">
        <f t="shared" si="12"/>
        <v>1.3122744039418774</v>
      </c>
      <c r="AB14" s="70">
        <f t="shared" si="5"/>
        <v>3.9</v>
      </c>
    </row>
    <row r="15" spans="1:28" s="40" customFormat="1" ht="20" customHeight="1">
      <c r="A15" s="35">
        <f t="shared" si="6"/>
        <v>10</v>
      </c>
      <c r="B15" s="24">
        <v>41420</v>
      </c>
      <c r="C15" s="115">
        <v>0.43472222222222223</v>
      </c>
      <c r="D15" s="117">
        <v>48</v>
      </c>
      <c r="E15" s="116">
        <v>39</v>
      </c>
      <c r="F15" s="36">
        <v>0</v>
      </c>
      <c r="G15" s="29">
        <v>7</v>
      </c>
      <c r="H15" s="37"/>
      <c r="I15" s="31">
        <v>1</v>
      </c>
      <c r="J15" s="31">
        <v>1</v>
      </c>
      <c r="K15" s="32">
        <v>0</v>
      </c>
      <c r="L15" s="27">
        <v>7</v>
      </c>
      <c r="M15" s="38"/>
      <c r="N15" s="39"/>
      <c r="O15" s="61">
        <f t="shared" si="3"/>
        <v>26.999999993713573</v>
      </c>
      <c r="P15" s="64">
        <f t="shared" si="7"/>
        <v>2.5999999999185093</v>
      </c>
      <c r="Q15" s="61">
        <f t="shared" si="0"/>
        <v>0</v>
      </c>
      <c r="R15" s="62">
        <f t="shared" si="1"/>
        <v>4122</v>
      </c>
      <c r="S15" s="63">
        <f t="shared" si="4"/>
        <v>0</v>
      </c>
      <c r="T15" s="118">
        <f t="shared" si="2"/>
        <v>94.619955555973064</v>
      </c>
      <c r="U15" s="61">
        <f t="shared" si="8"/>
        <v>0</v>
      </c>
      <c r="V15" s="64">
        <f t="shared" si="13"/>
        <v>0</v>
      </c>
      <c r="W15" s="64">
        <f t="shared" si="9"/>
        <v>4.2999999999999997E-2</v>
      </c>
      <c r="X15" s="72">
        <f t="shared" si="10"/>
        <v>1.3930720899353856E-2</v>
      </c>
      <c r="Y15" s="64">
        <f t="shared" si="11"/>
        <v>1.5867766546736681</v>
      </c>
      <c r="Z15" s="64">
        <f t="shared" si="12"/>
        <v>1.5867766546736681</v>
      </c>
      <c r="AB15" s="70">
        <f t="shared" si="5"/>
        <v>3.9</v>
      </c>
    </row>
    <row r="16" spans="1:28" s="40" customFormat="1" ht="20" customHeight="1">
      <c r="A16" s="35">
        <f t="shared" si="6"/>
        <v>11</v>
      </c>
      <c r="B16" s="24">
        <v>41420</v>
      </c>
      <c r="C16" s="115">
        <v>0.45347222222222222</v>
      </c>
      <c r="D16" s="117">
        <v>48</v>
      </c>
      <c r="E16" s="116">
        <v>39</v>
      </c>
      <c r="F16" s="36">
        <v>0</v>
      </c>
      <c r="G16" s="29">
        <v>7</v>
      </c>
      <c r="H16" s="37"/>
      <c r="I16" s="31">
        <v>1</v>
      </c>
      <c r="J16" s="31">
        <v>1</v>
      </c>
      <c r="K16" s="32">
        <v>0</v>
      </c>
      <c r="L16" s="27">
        <v>7</v>
      </c>
      <c r="M16" s="38"/>
      <c r="N16" s="39"/>
      <c r="O16" s="61">
        <f t="shared" si="3"/>
        <v>27.000000004190952</v>
      </c>
      <c r="P16" s="64">
        <f t="shared" si="7"/>
        <v>3.0499999999883585</v>
      </c>
      <c r="Q16" s="61">
        <f t="shared" si="0"/>
        <v>0</v>
      </c>
      <c r="R16" s="62">
        <f t="shared" si="1"/>
        <v>4122</v>
      </c>
      <c r="S16" s="63">
        <f t="shared" si="4"/>
        <v>0</v>
      </c>
      <c r="T16" s="118">
        <f t="shared" si="2"/>
        <v>94.619955555973064</v>
      </c>
      <c r="U16" s="61">
        <f t="shared" si="8"/>
        <v>0</v>
      </c>
      <c r="V16" s="64">
        <f t="shared" si="13"/>
        <v>0</v>
      </c>
      <c r="W16" s="64">
        <f t="shared" si="9"/>
        <v>4.9999999999999996E-2</v>
      </c>
      <c r="X16" s="72">
        <f t="shared" si="10"/>
        <v>1.3930720899353856E-2</v>
      </c>
      <c r="Y16" s="64">
        <f t="shared" si="11"/>
        <v>1.8450891333414743</v>
      </c>
      <c r="Z16" s="64">
        <f t="shared" si="12"/>
        <v>1.8450891333414743</v>
      </c>
      <c r="AB16" s="70">
        <f t="shared" si="5"/>
        <v>3.9</v>
      </c>
    </row>
    <row r="17" spans="1:28" s="40" customFormat="1" ht="20" customHeight="1">
      <c r="A17" s="35">
        <f t="shared" si="6"/>
        <v>12</v>
      </c>
      <c r="B17" s="24">
        <v>41420</v>
      </c>
      <c r="C17" s="115">
        <v>0.47222222222222227</v>
      </c>
      <c r="D17" s="117">
        <v>48</v>
      </c>
      <c r="E17" s="116">
        <v>39</v>
      </c>
      <c r="F17" s="36">
        <v>0</v>
      </c>
      <c r="G17" s="29">
        <v>10</v>
      </c>
      <c r="H17" s="37"/>
      <c r="I17" s="31">
        <v>1</v>
      </c>
      <c r="J17" s="31">
        <v>1</v>
      </c>
      <c r="K17" s="32">
        <v>0</v>
      </c>
      <c r="L17" s="27">
        <v>7</v>
      </c>
      <c r="M17" s="38"/>
      <c r="N17" s="39"/>
      <c r="O17" s="61">
        <f t="shared" si="3"/>
        <v>26.999999993713573</v>
      </c>
      <c r="P17" s="64">
        <f t="shared" si="7"/>
        <v>3.4999999998835847</v>
      </c>
      <c r="Q17" s="61">
        <f t="shared" si="0"/>
        <v>0</v>
      </c>
      <c r="R17" s="62">
        <f t="shared" si="1"/>
        <v>4122</v>
      </c>
      <c r="S17" s="63">
        <f t="shared" si="4"/>
        <v>0</v>
      </c>
      <c r="T17" s="118">
        <f>T18</f>
        <v>94.619955555973064</v>
      </c>
      <c r="U17" s="61">
        <f t="shared" si="8"/>
        <v>0</v>
      </c>
      <c r="V17" s="64">
        <f t="shared" si="13"/>
        <v>0</v>
      </c>
      <c r="W17" s="64">
        <f t="shared" si="9"/>
        <v>0.06</v>
      </c>
      <c r="X17" s="72">
        <f t="shared" si="10"/>
        <v>1.3930720899353856E-2</v>
      </c>
      <c r="Y17" s="64">
        <f t="shared" si="11"/>
        <v>2.2141069600097696</v>
      </c>
      <c r="Z17" s="64">
        <f t="shared" si="12"/>
        <v>2.2141069600097696</v>
      </c>
      <c r="AB17" s="70">
        <f t="shared" si="5"/>
        <v>3.9</v>
      </c>
    </row>
    <row r="18" spans="1:28" s="40" customFormat="1" ht="20" customHeight="1">
      <c r="A18" s="35">
        <f t="shared" si="6"/>
        <v>13</v>
      </c>
      <c r="B18" s="24">
        <v>41420</v>
      </c>
      <c r="C18" s="115">
        <v>0.48749999999999999</v>
      </c>
      <c r="D18" s="117">
        <v>46</v>
      </c>
      <c r="E18" s="116">
        <v>24</v>
      </c>
      <c r="F18" s="36">
        <v>770</v>
      </c>
      <c r="G18" s="29">
        <v>55</v>
      </c>
      <c r="H18" s="37"/>
      <c r="I18" s="31">
        <v>1</v>
      </c>
      <c r="J18" s="31">
        <v>1</v>
      </c>
      <c r="K18" s="32">
        <v>0</v>
      </c>
      <c r="L18" s="27">
        <v>7</v>
      </c>
      <c r="M18" s="38" t="s">
        <v>52</v>
      </c>
      <c r="N18" s="39" t="s">
        <v>53</v>
      </c>
      <c r="O18" s="61">
        <f t="shared" si="3"/>
        <v>22.000000008847564</v>
      </c>
      <c r="P18" s="64">
        <f t="shared" si="7"/>
        <v>3.8666666666977108</v>
      </c>
      <c r="Q18" s="61">
        <f t="shared" si="0"/>
        <v>762.01125000000002</v>
      </c>
      <c r="R18" s="62">
        <f t="shared" si="1"/>
        <v>4122</v>
      </c>
      <c r="S18" s="63">
        <f t="shared" si="4"/>
        <v>0</v>
      </c>
      <c r="T18" s="118">
        <v>94.619955555973064</v>
      </c>
      <c r="U18" s="61">
        <f t="shared" si="8"/>
        <v>721.01470608151476</v>
      </c>
      <c r="V18" s="64">
        <f t="shared" si="13"/>
        <v>0.72101470608151474</v>
      </c>
      <c r="W18" s="64">
        <f t="shared" si="9"/>
        <v>0.11499999999999999</v>
      </c>
      <c r="X18" s="72">
        <f t="shared" si="10"/>
        <v>1.7709417106668224E-2</v>
      </c>
      <c r="Y18" s="64">
        <f t="shared" si="11"/>
        <v>2.5651652377994396</v>
      </c>
      <c r="Z18" s="64">
        <f t="shared" si="12"/>
        <v>3.2861799438809545</v>
      </c>
      <c r="AB18" s="70">
        <f t="shared" si="5"/>
        <v>2.4</v>
      </c>
    </row>
    <row r="19" spans="1:28" s="40" customFormat="1" ht="20" customHeight="1">
      <c r="A19" s="35">
        <f t="shared" si="6"/>
        <v>14</v>
      </c>
      <c r="B19" s="24">
        <v>41420</v>
      </c>
      <c r="C19" s="115">
        <v>0.53055555555555556</v>
      </c>
      <c r="D19" s="117">
        <v>44</v>
      </c>
      <c r="E19" s="116">
        <v>24</v>
      </c>
      <c r="F19" s="36">
        <v>1760</v>
      </c>
      <c r="G19" s="29">
        <v>23</v>
      </c>
      <c r="H19" s="37"/>
      <c r="I19" s="31">
        <v>1</v>
      </c>
      <c r="J19" s="31">
        <v>1</v>
      </c>
      <c r="K19" s="32">
        <v>0</v>
      </c>
      <c r="L19" s="27">
        <v>7</v>
      </c>
      <c r="M19" s="38" t="s">
        <v>54</v>
      </c>
      <c r="N19" s="39"/>
      <c r="O19" s="61">
        <f t="shared" si="3"/>
        <v>61.999999992549419</v>
      </c>
      <c r="P19" s="64">
        <f t="shared" si="7"/>
        <v>4.8999999999068677</v>
      </c>
      <c r="Q19" s="61">
        <f t="shared" si="0"/>
        <v>1741.74</v>
      </c>
      <c r="R19" s="62">
        <f t="shared" si="1"/>
        <v>4122</v>
      </c>
      <c r="S19" s="63">
        <f t="shared" si="4"/>
        <v>0</v>
      </c>
      <c r="T19" s="118">
        <v>97.577394149630251</v>
      </c>
      <c r="U19" s="61">
        <f t="shared" si="8"/>
        <v>1699.5445048617701</v>
      </c>
      <c r="V19" s="64">
        <f t="shared" si="13"/>
        <v>2.420559210943285</v>
      </c>
      <c r="W19" s="64">
        <f t="shared" si="9"/>
        <v>0.13799999999999998</v>
      </c>
      <c r="X19" s="72">
        <f t="shared" si="10"/>
        <v>1.7709417106668224E-2</v>
      </c>
      <c r="Y19" s="64">
        <f t="shared" si="11"/>
        <v>3.282259595708187</v>
      </c>
      <c r="Z19" s="64">
        <f t="shared" si="12"/>
        <v>5.7028188066514716</v>
      </c>
      <c r="AB19" s="70">
        <f t="shared" si="5"/>
        <v>2.4</v>
      </c>
    </row>
    <row r="20" spans="1:28" s="40" customFormat="1" ht="20" customHeight="1">
      <c r="A20" s="35">
        <f t="shared" si="6"/>
        <v>15</v>
      </c>
      <c r="B20" s="24">
        <v>41420</v>
      </c>
      <c r="C20" s="115">
        <v>0.57291666666666663</v>
      </c>
      <c r="D20" s="117">
        <v>34</v>
      </c>
      <c r="E20" s="116">
        <v>13</v>
      </c>
      <c r="F20" s="36">
        <v>1910</v>
      </c>
      <c r="G20" s="29">
        <v>52</v>
      </c>
      <c r="H20" s="37"/>
      <c r="I20" s="31">
        <v>1</v>
      </c>
      <c r="J20" s="31">
        <v>1</v>
      </c>
      <c r="K20" s="32">
        <v>0</v>
      </c>
      <c r="L20" s="27">
        <v>7</v>
      </c>
      <c r="M20" s="38" t="s">
        <v>55</v>
      </c>
      <c r="N20" s="39"/>
      <c r="O20" s="61">
        <f t="shared" si="3"/>
        <v>60.999999999767169</v>
      </c>
      <c r="P20" s="64">
        <f t="shared" si="7"/>
        <v>5.9166666665696539</v>
      </c>
      <c r="Q20" s="61">
        <f t="shared" si="0"/>
        <v>1890.1837500000001</v>
      </c>
      <c r="R20" s="62">
        <f t="shared" si="1"/>
        <v>4122</v>
      </c>
      <c r="S20" s="63">
        <f t="shared" si="4"/>
        <v>0</v>
      </c>
      <c r="T20" s="118">
        <v>97.748994378410472</v>
      </c>
      <c r="U20" s="61">
        <f t="shared" si="8"/>
        <v>1847.6356075291283</v>
      </c>
      <c r="V20" s="64">
        <f t="shared" si="13"/>
        <v>4.2681948184724128</v>
      </c>
      <c r="W20" s="64">
        <f t="shared" si="9"/>
        <v>0.18999999999999997</v>
      </c>
      <c r="X20" s="72">
        <f t="shared" si="10"/>
        <v>2.1117382954510412E-2</v>
      </c>
      <c r="Y20" s="64">
        <f t="shared" si="11"/>
        <v>2.4896485746944781</v>
      </c>
      <c r="Z20" s="64">
        <f t="shared" si="12"/>
        <v>6.7578433931668904</v>
      </c>
      <c r="AB20" s="70">
        <f t="shared" si="5"/>
        <v>1.3</v>
      </c>
    </row>
    <row r="21" spans="1:28" s="40" customFormat="1" ht="20" customHeight="1">
      <c r="A21" s="35">
        <f t="shared" si="6"/>
        <v>16</v>
      </c>
      <c r="B21" s="24">
        <v>41420</v>
      </c>
      <c r="C21" s="115">
        <v>0.61111111111111105</v>
      </c>
      <c r="D21" s="117">
        <v>14</v>
      </c>
      <c r="E21" s="116">
        <v>2</v>
      </c>
      <c r="F21" s="36">
        <v>1805</v>
      </c>
      <c r="G21" s="29">
        <v>30</v>
      </c>
      <c r="H21" s="37"/>
      <c r="I21" s="31">
        <v>1</v>
      </c>
      <c r="J21" s="31">
        <v>1</v>
      </c>
      <c r="K21" s="32">
        <v>0</v>
      </c>
      <c r="L21" s="27">
        <v>7</v>
      </c>
      <c r="M21" s="38" t="s">
        <v>56</v>
      </c>
      <c r="N21" s="39" t="s">
        <v>57</v>
      </c>
      <c r="O21" s="61">
        <f t="shared" ref="O21:O23" si="14">((B21 +C21) - (B20 + C20)) * 24 * 60</f>
        <v>55.000000001164153</v>
      </c>
      <c r="P21" s="64">
        <f t="shared" ref="P21:P23" si="15">P20+O21/60</f>
        <v>6.8333333332557231</v>
      </c>
      <c r="Q21" s="61">
        <f t="shared" ref="Q21:Q23" si="16">F21*$F$2/1000*273/(273+L21)</f>
        <v>1786.2731250000002</v>
      </c>
      <c r="R21" s="62">
        <f t="shared" ref="R21:R23" si="17">$N$2-K21</f>
        <v>4122</v>
      </c>
      <c r="S21" s="63">
        <f t="shared" ref="S21:S23" si="18">IF(I21=J21,0,R21*(J21-I21))*273/(273+L21)</f>
        <v>0</v>
      </c>
      <c r="T21" s="118">
        <v>98.214626185755947</v>
      </c>
      <c r="U21" s="61">
        <f t="shared" ref="U21:U23" si="19">(S21+Q21)*T21/100</f>
        <v>1754.381472375371</v>
      </c>
      <c r="V21" s="64">
        <f t="shared" ref="V21:V23" si="20">V20+U21/1000</f>
        <v>6.022576290847784</v>
      </c>
      <c r="W21" s="64">
        <f t="shared" ref="W21:W23" si="21">W20+(G21+K21)/1000</f>
        <v>0.21999999999999997</v>
      </c>
      <c r="X21" s="72">
        <f t="shared" si="10"/>
        <v>2.5181171134059138E-2</v>
      </c>
      <c r="Y21" s="64">
        <f t="shared" si="11"/>
        <v>0.6203367589744796</v>
      </c>
      <c r="Z21" s="64">
        <f t="shared" ref="Z21:Z23" si="22">V21+Y21</f>
        <v>6.6429130498222637</v>
      </c>
      <c r="AB21" s="70">
        <f t="shared" si="5"/>
        <v>0.2</v>
      </c>
    </row>
    <row r="22" spans="1:28" ht="20" customHeight="1">
      <c r="A22" s="35">
        <f t="shared" si="6"/>
        <v>17</v>
      </c>
      <c r="B22" s="24">
        <v>41420</v>
      </c>
      <c r="C22" s="115">
        <v>0.66180555555555554</v>
      </c>
      <c r="D22" s="117">
        <v>4</v>
      </c>
      <c r="E22" s="116">
        <v>0</v>
      </c>
      <c r="F22" s="36">
        <v>730</v>
      </c>
      <c r="G22" s="29">
        <v>10</v>
      </c>
      <c r="H22" s="37"/>
      <c r="I22" s="31">
        <v>1</v>
      </c>
      <c r="J22" s="31">
        <v>1</v>
      </c>
      <c r="K22" s="32">
        <v>0</v>
      </c>
      <c r="L22" s="27">
        <v>7</v>
      </c>
      <c r="M22" s="38" t="s">
        <v>58</v>
      </c>
      <c r="N22" s="39"/>
      <c r="O22" s="61">
        <f t="shared" si="14"/>
        <v>73.000000007450581</v>
      </c>
      <c r="P22" s="64">
        <f t="shared" si="15"/>
        <v>8.0500000000465661</v>
      </c>
      <c r="Q22" s="61">
        <f t="shared" si="16"/>
        <v>722.42624999999998</v>
      </c>
      <c r="R22" s="62">
        <f t="shared" si="17"/>
        <v>4122</v>
      </c>
      <c r="S22" s="63">
        <f t="shared" si="18"/>
        <v>0</v>
      </c>
      <c r="T22" s="118">
        <v>97.466723306409179</v>
      </c>
      <c r="U22" s="61">
        <f t="shared" si="19"/>
        <v>704.12519418036788</v>
      </c>
      <c r="V22" s="64">
        <f t="shared" si="20"/>
        <v>6.7267014850281521</v>
      </c>
      <c r="W22" s="64">
        <f t="shared" si="21"/>
        <v>0.22999999999999998</v>
      </c>
      <c r="X22" s="72">
        <f t="shared" si="10"/>
        <v>2.5999999999999999E-2</v>
      </c>
      <c r="Y22" s="64">
        <f t="shared" si="11"/>
        <v>0.21779099349113096</v>
      </c>
      <c r="Z22" s="64">
        <f t="shared" si="22"/>
        <v>6.9444924785192832</v>
      </c>
      <c r="AB22" s="70">
        <f t="shared" si="5"/>
        <v>0</v>
      </c>
    </row>
    <row r="23" spans="1:28" ht="20" customHeight="1">
      <c r="A23" s="35">
        <f t="shared" si="6"/>
        <v>18</v>
      </c>
      <c r="B23" s="24">
        <v>41420</v>
      </c>
      <c r="C23" s="115">
        <v>0.70416666666666661</v>
      </c>
      <c r="D23" s="117">
        <v>0</v>
      </c>
      <c r="E23" s="116">
        <v>0</v>
      </c>
      <c r="F23" s="36">
        <v>270</v>
      </c>
      <c r="G23" s="29">
        <v>11</v>
      </c>
      <c r="H23" s="37"/>
      <c r="I23" s="31">
        <v>1</v>
      </c>
      <c r="J23" s="31">
        <v>1</v>
      </c>
      <c r="K23" s="32">
        <v>0</v>
      </c>
      <c r="L23" s="27">
        <v>7</v>
      </c>
      <c r="M23" s="38" t="s">
        <v>59</v>
      </c>
      <c r="N23" s="39"/>
      <c r="O23" s="61">
        <f t="shared" si="14"/>
        <v>60.999999999767169</v>
      </c>
      <c r="P23" s="64">
        <f t="shared" si="15"/>
        <v>9.0666666667093523</v>
      </c>
      <c r="Q23" s="61">
        <f t="shared" si="16"/>
        <v>267.19875000000002</v>
      </c>
      <c r="R23" s="62">
        <f t="shared" si="17"/>
        <v>4122</v>
      </c>
      <c r="S23" s="63">
        <f t="shared" si="18"/>
        <v>0</v>
      </c>
      <c r="T23" s="118">
        <v>95.498508025379621</v>
      </c>
      <c r="U23" s="61">
        <f t="shared" si="19"/>
        <v>255.17081971246404</v>
      </c>
      <c r="V23" s="64">
        <f t="shared" si="20"/>
        <v>6.9818723047406159</v>
      </c>
      <c r="W23" s="64">
        <f t="shared" si="21"/>
        <v>0.24099999999999999</v>
      </c>
      <c r="X23" s="72">
        <f t="shared" si="10"/>
        <v>2.5999999999999999E-2</v>
      </c>
      <c r="Y23" s="64">
        <f t="shared" si="11"/>
        <v>0.22439761923263571</v>
      </c>
      <c r="Z23" s="64">
        <f t="shared" si="22"/>
        <v>7.2062699239732515</v>
      </c>
      <c r="AB23" s="70">
        <f t="shared" si="5"/>
        <v>0</v>
      </c>
    </row>
    <row r="24" spans="1:28" ht="20" customHeight="1"/>
    <row r="25" spans="1:28" ht="20" customHeight="1"/>
    <row r="26" spans="1:28" ht="20" customHeight="1"/>
    <row r="27" spans="1:28" ht="20" customHeight="1"/>
    <row r="28" spans="1:28" ht="20" customHeight="1"/>
    <row r="29" spans="1:28" ht="20" customHeight="1"/>
    <row r="30" spans="1:28" ht="20" customHeight="1"/>
    <row r="31" spans="1:28" ht="20" customHeight="1"/>
    <row r="32" spans="1:2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" customHeight="1"/>
    <row r="1024" ht="20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20" customHeight="1"/>
    <row r="1038" ht="20" customHeight="1"/>
    <row r="1039" ht="20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" customHeight="1"/>
    <row r="1049" ht="20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20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" customHeight="1"/>
    <row r="1074" ht="20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20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" customHeight="1"/>
    <row r="1099" ht="20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" customHeight="1"/>
    <row r="1124" ht="20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" customHeight="1"/>
    <row r="1149" ht="20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20" customHeight="1"/>
    <row r="1195" ht="20" customHeight="1"/>
    <row r="1196" ht="20" customHeight="1"/>
    <row r="1197" ht="20" customHeight="1"/>
    <row r="1198" ht="20" customHeight="1"/>
    <row r="1199" ht="20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" customHeight="1"/>
    <row r="1224" ht="20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20" customHeight="1"/>
    <row r="1238" ht="20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20" customHeight="1"/>
    <row r="1246" ht="20" customHeight="1"/>
    <row r="1247" ht="20" customHeight="1"/>
    <row r="1248" ht="20" customHeight="1"/>
    <row r="1249" ht="20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20" customHeight="1"/>
    <row r="1273" ht="20" customHeight="1"/>
    <row r="1274" ht="20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20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" customHeight="1"/>
    <row r="1299" ht="20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20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20" customHeight="1"/>
    <row r="1320" ht="20" customHeight="1"/>
    <row r="1321" ht="20" customHeight="1"/>
    <row r="1322" ht="20" customHeight="1"/>
    <row r="1323" ht="20" customHeight="1"/>
    <row r="1324" ht="20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20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" customHeight="1"/>
    <row r="1349" ht="20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20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" customHeight="1"/>
    <row r="1374" ht="20" customHeight="1"/>
    <row r="1375" ht="20" customHeight="1"/>
    <row r="1376" ht="20" customHeight="1"/>
    <row r="1377" ht="20" customHeight="1"/>
    <row r="1378" ht="20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" customHeight="1"/>
    <row r="1399" ht="20" customHeight="1"/>
    <row r="1400" ht="20" customHeight="1"/>
    <row r="1401" ht="20" customHeight="1"/>
    <row r="1402" ht="20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20" customHeight="1"/>
    <row r="1411" ht="20" customHeight="1"/>
    <row r="1412" ht="20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" customHeight="1"/>
    <row r="1424" ht="20" customHeight="1"/>
    <row r="1425" ht="20" customHeight="1"/>
    <row r="1426" ht="20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" customHeight="1"/>
    <row r="1449" ht="20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" customHeight="1"/>
    <row r="1474" ht="20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20" customHeight="1"/>
    <row r="1498" ht="20" customHeight="1"/>
    <row r="1499" ht="20" customHeight="1"/>
    <row r="1500" ht="20" customHeight="1"/>
    <row r="1501" ht="20" customHeight="1"/>
    <row r="1502" ht="20" customHeight="1"/>
    <row r="1503" ht="20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" customHeight="1"/>
    <row r="1524" ht="20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" customHeight="1"/>
    <row r="1549" ht="20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20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20" customHeight="1"/>
    <row r="1574" ht="20" customHeight="1"/>
    <row r="1575" ht="20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  <row r="1700" ht="20" customHeight="1"/>
    <row r="1701" ht="20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20" customHeight="1"/>
    <row r="1723" ht="20" customHeight="1"/>
    <row r="1724" ht="20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20" customHeight="1"/>
    <row r="1736" ht="20" customHeight="1"/>
    <row r="1737" ht="20" customHeight="1"/>
    <row r="1738" ht="20" customHeight="1"/>
    <row r="1739" ht="20" customHeight="1"/>
    <row r="1740" ht="20" customHeight="1"/>
    <row r="1741" ht="20" customHeight="1"/>
    <row r="1742" ht="20" customHeight="1"/>
    <row r="1743" ht="20" customHeight="1"/>
    <row r="1744" ht="20" customHeight="1"/>
    <row r="1745" ht="20" customHeight="1"/>
    <row r="1746" ht="20" customHeight="1"/>
    <row r="1747" ht="20" customHeight="1"/>
    <row r="1748" ht="20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" customHeight="1"/>
    <row r="1773" ht="20" customHeight="1"/>
    <row r="1774" ht="20" customHeight="1"/>
    <row r="1775" ht="20" customHeight="1"/>
    <row r="1776" ht="20" customHeight="1"/>
    <row r="1777" ht="20" customHeight="1"/>
    <row r="1778" ht="20" customHeight="1"/>
    <row r="1779" ht="20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20" customHeight="1"/>
    <row r="1787" ht="20" customHeight="1"/>
    <row r="1788" ht="20" customHeight="1"/>
    <row r="1789" ht="20" customHeight="1"/>
    <row r="1790" ht="20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" customHeight="1"/>
    <row r="1798" ht="20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" customHeight="1"/>
    <row r="1823" ht="20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20" customHeight="1"/>
    <row r="1842" ht="20" customHeight="1"/>
    <row r="1843" ht="20" customHeight="1"/>
    <row r="1844" ht="20" customHeight="1"/>
    <row r="1845" ht="20" customHeight="1"/>
    <row r="1846" ht="20" customHeight="1"/>
    <row r="1847" ht="20" customHeight="1"/>
    <row r="1848" ht="20" customHeight="1"/>
    <row r="1849" ht="20" customHeight="1"/>
    <row r="1850" ht="20" customHeight="1"/>
    <row r="1851" ht="20" customHeight="1"/>
    <row r="1852" ht="20" customHeight="1"/>
    <row r="1853" ht="20" customHeight="1"/>
    <row r="1854" ht="20" customHeight="1"/>
    <row r="1855" ht="20" customHeight="1"/>
    <row r="1856" ht="20" customHeight="1"/>
    <row r="1857" ht="20" customHeight="1"/>
    <row r="1858" ht="20" customHeight="1"/>
    <row r="1859" ht="20" customHeight="1"/>
    <row r="1860" ht="20" customHeight="1"/>
    <row r="1861" ht="20" customHeight="1"/>
    <row r="1862" ht="20" customHeight="1"/>
    <row r="1863" ht="20" customHeight="1"/>
    <row r="1864" ht="20" customHeight="1"/>
    <row r="1865" ht="20" customHeight="1"/>
    <row r="1866" ht="20" customHeight="1"/>
    <row r="1867" ht="20" customHeight="1"/>
    <row r="1868" ht="20" customHeight="1"/>
    <row r="1869" ht="20" customHeight="1"/>
    <row r="1870" ht="20" customHeight="1"/>
    <row r="1871" ht="20" customHeight="1"/>
    <row r="1872" ht="20" customHeight="1"/>
    <row r="1873" ht="20" customHeight="1"/>
    <row r="1874" ht="20" customHeight="1"/>
    <row r="1875" ht="20" customHeight="1"/>
    <row r="1876" ht="20" customHeight="1"/>
    <row r="1877" ht="20" customHeight="1"/>
    <row r="1878" ht="20" customHeight="1"/>
    <row r="1879" ht="20" customHeight="1"/>
    <row r="1880" ht="20" customHeight="1"/>
    <row r="1881" ht="20" customHeight="1"/>
    <row r="1882" ht="20" customHeight="1"/>
    <row r="1883" ht="20" customHeight="1"/>
    <row r="1884" ht="20" customHeight="1"/>
    <row r="1885" ht="20" customHeight="1"/>
    <row r="1886" ht="20" customHeight="1"/>
    <row r="1887" ht="20" customHeight="1"/>
    <row r="1888" ht="20" customHeight="1"/>
    <row r="1889" ht="20" customHeight="1"/>
    <row r="1890" ht="20" customHeight="1"/>
    <row r="1891" ht="20" customHeight="1"/>
    <row r="1892" ht="20" customHeight="1"/>
    <row r="1893" ht="20" customHeight="1"/>
    <row r="1894" ht="20" customHeight="1"/>
    <row r="1895" ht="20" customHeight="1"/>
    <row r="1896" ht="20" customHeight="1"/>
    <row r="1897" ht="20" customHeight="1"/>
    <row r="1898" ht="20" customHeight="1"/>
    <row r="1899" ht="20" customHeight="1"/>
    <row r="1900" ht="20" customHeight="1"/>
    <row r="1901" ht="20" customHeight="1"/>
    <row r="1902" ht="20" customHeight="1"/>
    <row r="1903" ht="20" customHeight="1"/>
    <row r="1904" ht="20" customHeight="1"/>
    <row r="1905" ht="20" customHeight="1"/>
    <row r="1906" ht="20" customHeight="1"/>
    <row r="1907" ht="20" customHeight="1"/>
    <row r="1908" ht="20" customHeight="1"/>
    <row r="1909" ht="20" customHeight="1"/>
    <row r="1910" ht="20" customHeight="1"/>
    <row r="1911" ht="20" customHeight="1"/>
    <row r="1912" ht="20" customHeight="1"/>
    <row r="1913" ht="20" customHeight="1"/>
    <row r="1914" ht="20" customHeight="1"/>
    <row r="1915" ht="20" customHeight="1"/>
    <row r="1916" ht="20" customHeight="1"/>
    <row r="1917" ht="20" customHeight="1"/>
    <row r="1918" ht="20" customHeight="1"/>
    <row r="1919" ht="20" customHeight="1"/>
    <row r="1920" ht="20" customHeight="1"/>
    <row r="1921" ht="20" customHeight="1"/>
    <row r="1922" ht="20" customHeight="1"/>
    <row r="1923" ht="20" customHeight="1"/>
    <row r="1924" ht="20" customHeight="1"/>
    <row r="1925" ht="20" customHeight="1"/>
    <row r="1926" ht="20" customHeight="1"/>
    <row r="1927" ht="20" customHeight="1"/>
    <row r="1928" ht="20" customHeight="1"/>
    <row r="1929" ht="20" customHeight="1"/>
    <row r="1930" ht="20" customHeight="1"/>
    <row r="1931" ht="20" customHeight="1"/>
    <row r="1932" ht="20" customHeight="1"/>
    <row r="1933" ht="20" customHeight="1"/>
    <row r="1934" ht="20" customHeight="1"/>
    <row r="1935" ht="20" customHeight="1"/>
    <row r="1936" ht="20" customHeight="1"/>
    <row r="1937" ht="20" customHeight="1"/>
    <row r="1938" ht="20" customHeight="1"/>
    <row r="1939" ht="20" customHeight="1"/>
    <row r="1940" ht="20" customHeight="1"/>
    <row r="1941" ht="20" customHeight="1"/>
    <row r="1942" ht="20" customHeight="1"/>
    <row r="1943" ht="20" customHeight="1"/>
    <row r="1944" ht="20" customHeight="1"/>
    <row r="1945" ht="20" customHeight="1"/>
    <row r="1946" ht="20" customHeight="1"/>
    <row r="1947" ht="20" customHeight="1"/>
    <row r="1948" ht="20" customHeight="1"/>
    <row r="1949" ht="20" customHeight="1"/>
    <row r="1950" ht="20" customHeight="1"/>
    <row r="1951" ht="20" customHeight="1"/>
    <row r="1952" ht="20" customHeight="1"/>
    <row r="1953" ht="20" customHeight="1"/>
    <row r="1954" ht="20" customHeight="1"/>
    <row r="1955" ht="20" customHeight="1"/>
    <row r="1956" ht="20" customHeight="1"/>
    <row r="1957" ht="20" customHeight="1"/>
    <row r="1958" ht="20" customHeight="1"/>
    <row r="1959" ht="20" customHeight="1"/>
    <row r="1960" ht="20" customHeight="1"/>
    <row r="1961" ht="20" customHeight="1"/>
    <row r="1962" ht="20" customHeight="1"/>
    <row r="1963" ht="20" customHeight="1"/>
    <row r="1964" ht="20" customHeight="1"/>
    <row r="1965" ht="20" customHeight="1"/>
    <row r="1966" ht="20" customHeight="1"/>
    <row r="1967" ht="20" customHeight="1"/>
    <row r="1968" ht="20" customHeight="1"/>
    <row r="1969" ht="20" customHeight="1"/>
    <row r="1970" ht="20" customHeight="1"/>
    <row r="1971" ht="20" customHeight="1"/>
    <row r="1972" ht="20" customHeight="1"/>
    <row r="1973" ht="20" customHeight="1"/>
    <row r="1974" ht="20" customHeight="1"/>
    <row r="1975" ht="20" customHeight="1"/>
    <row r="1976" ht="20" customHeight="1"/>
    <row r="1977" ht="20" customHeight="1"/>
    <row r="1978" ht="20" customHeight="1"/>
    <row r="1979" ht="20" customHeight="1"/>
    <row r="1980" ht="20" customHeight="1"/>
    <row r="1981" ht="20" customHeight="1"/>
    <row r="1982" ht="20" customHeight="1"/>
    <row r="1983" ht="20" customHeight="1"/>
  </sheetData>
  <mergeCells count="22"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A2:E2"/>
    <mergeCell ref="F2:H2"/>
    <mergeCell ref="I2:K2"/>
    <mergeCell ref="L2:M2"/>
    <mergeCell ref="I4:L4"/>
    <mergeCell ref="W4:Y4"/>
    <mergeCell ref="U4:V4"/>
    <mergeCell ref="O4:P4"/>
    <mergeCell ref="Q3:S3"/>
    <mergeCell ref="R4:S4"/>
    <mergeCell ref="M4:M5"/>
    <mergeCell ref="N4:N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1"/>
  <sheetViews>
    <sheetView workbookViewId="0">
      <selection activeCell="C31" sqref="C31"/>
    </sheetView>
  </sheetViews>
  <sheetFormatPr baseColWidth="10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3" t="str">
        <f>CONCATENATE(M1," Depressurization Table")</f>
        <v>UT-GOM2-1-H005-10FB-3 Depressurization Table</v>
      </c>
      <c r="B1" s="113"/>
      <c r="C1" s="113"/>
      <c r="D1" s="113"/>
      <c r="E1" s="113"/>
      <c r="F1" s="113"/>
      <c r="G1" s="113"/>
      <c r="H1" s="113"/>
      <c r="I1" s="113"/>
      <c r="M1" s="22" t="s">
        <v>51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21" ca="1" si="0">INDIRECT(CONCATENATE("'",$M$1,"'!A",ROW()+2))</f>
        <v>1</v>
      </c>
      <c r="B4" s="18">
        <f t="shared" ref="B4:B21" ca="1" si="1">INDIRECT(CONCATENATE("'",$M$1,"'!D",ROW()+2))/10</f>
        <v>20.5</v>
      </c>
      <c r="C4" s="18">
        <f t="shared" ref="C4:C21" ca="1" si="2">INDIRECT(CONCATENATE("'",$M$1,"'!E",ROW()+2))/10</f>
        <v>20.5</v>
      </c>
      <c r="D4" s="19">
        <f ca="1">(INDIRECT(CONCATENATE("'",$M$1,"'!R",ROW()+2))+INDIRECT(CONCATENATE("'",$M$1,"'!T",ROW()+2)))/1000</f>
        <v>4.2166199555559736</v>
      </c>
      <c r="E4" s="18">
        <f ca="1">INDIRECT(CONCATENATE("'",$M$1,"'!t",ROW()+2))</f>
        <v>94.619955555973064</v>
      </c>
      <c r="F4" s="68" t="str">
        <f ca="1">IF(INDIRECT(CONCATENATE("'",$M$1,"'!m",ROW()+2))="","",INDIRECT(CONCATENATE("'",$M$1,"'!m",ROW()+2)))</f>
        <v/>
      </c>
      <c r="G4" s="19">
        <f t="shared" ref="G4:G21" ca="1" si="3">INDIRECT(CONCATENATE("'",$M$1,"'!x",ROW()+2))</f>
        <v>0</v>
      </c>
      <c r="H4" s="20">
        <f ca="1">D4/MAX(D4:D21)</f>
        <v>5.5545744218183639E-2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20.5</v>
      </c>
      <c r="C5" s="18">
        <f t="shared" ca="1" si="2"/>
        <v>15.8</v>
      </c>
      <c r="D5" s="19">
        <f t="shared" ref="D5:D21" ca="1" si="4">D4+(INDIRECT(CONCATENATE("'",$M$1,"'!R",ROW()+2))+INDIRECT(CONCATENATE("'",$M$1,"'!T",ROW()+2)))/1000</f>
        <v>8.4332399111119472</v>
      </c>
      <c r="E5" s="18">
        <f t="shared" ref="E5:E21" ca="1" si="5">INDIRECT(CONCATENATE("'",$M$1,"'!t",ROW()+2))</f>
        <v>94.619955555973064</v>
      </c>
      <c r="F5" s="68" t="str">
        <f t="shared" ref="F5:F21" ca="1" si="6">IF(INDIRECT(CONCATENATE("'",$M$1,"'!m",ROW()+2))="","",INDIRECT(CONCATENATE("'",$M$1,"'!m",ROW()+2)))</f>
        <v/>
      </c>
      <c r="G5" s="19">
        <f t="shared" ca="1" si="3"/>
        <v>2.075280941520164E-3</v>
      </c>
      <c r="H5" s="20">
        <f ca="1">D5/MAX(D5:D21)</f>
        <v>0.11109148843636728</v>
      </c>
      <c r="I5" s="19">
        <f t="shared" ref="I5:I21" ca="1" si="7">INDIRECT(CONCATENATE("'",$M$1,"'!y",ROW()+2))</f>
        <v>0.57569579065443666</v>
      </c>
      <c r="J5" s="21"/>
    </row>
    <row r="6" spans="1:21">
      <c r="A6" s="17">
        <f t="shared" ca="1" si="0"/>
        <v>3</v>
      </c>
      <c r="B6" s="18">
        <f t="shared" ca="1" si="1"/>
        <v>15.8</v>
      </c>
      <c r="C6" s="18">
        <f t="shared" ca="1" si="2"/>
        <v>10</v>
      </c>
      <c r="D6" s="19">
        <f t="shared" ca="1" si="4"/>
        <v>12.649859866667921</v>
      </c>
      <c r="E6" s="18">
        <f t="shared" ca="1" si="5"/>
        <v>94.619955555973064</v>
      </c>
      <c r="F6" s="68" t="str">
        <f t="shared" ca="1" si="6"/>
        <v/>
      </c>
      <c r="G6" s="19">
        <f t="shared" ca="1" si="3"/>
        <v>5.2493094678610396E-3</v>
      </c>
      <c r="H6" s="20">
        <f ca="1">D6/MAX(D6:D21)</f>
        <v>0.16663723265455091</v>
      </c>
      <c r="I6" s="19">
        <f t="shared" ca="1" si="7"/>
        <v>0.91555455612387437</v>
      </c>
      <c r="J6" s="21"/>
    </row>
    <row r="7" spans="1:21">
      <c r="A7" s="17">
        <f t="shared" ca="1" si="0"/>
        <v>4</v>
      </c>
      <c r="B7" s="18">
        <f t="shared" ca="1" si="1"/>
        <v>10.1</v>
      </c>
      <c r="C7" s="18">
        <f t="shared" ca="1" si="2"/>
        <v>6.8</v>
      </c>
      <c r="D7" s="19">
        <f t="shared" ca="1" si="4"/>
        <v>16.866479822223894</v>
      </c>
      <c r="E7" s="18">
        <f t="shared" ca="1" si="5"/>
        <v>94.619955555973064</v>
      </c>
      <c r="F7" s="68" t="str">
        <f t="shared" ca="1" si="6"/>
        <v/>
      </c>
      <c r="G7" s="19">
        <f t="shared" ca="1" si="3"/>
        <v>8.7591295889668241E-3</v>
      </c>
      <c r="H7" s="20">
        <f ca="1">D7/MAX(D7:D21)</f>
        <v>0.22218297687273456</v>
      </c>
      <c r="I7" s="19">
        <f t="shared" ca="1" si="7"/>
        <v>0.85872515839724883</v>
      </c>
      <c r="J7" s="21"/>
    </row>
    <row r="8" spans="1:21">
      <c r="A8" s="17">
        <f t="shared" ca="1" si="0"/>
        <v>5</v>
      </c>
      <c r="B8" s="18">
        <f t="shared" ca="1" si="1"/>
        <v>6.8</v>
      </c>
      <c r="C8" s="18">
        <f t="shared" ca="1" si="2"/>
        <v>5.2</v>
      </c>
      <c r="D8" s="19">
        <f t="shared" ca="1" si="4"/>
        <v>21.083099777779868</v>
      </c>
      <c r="E8" s="18">
        <f t="shared" ca="1" si="5"/>
        <v>94.619955555973064</v>
      </c>
      <c r="F8" s="68" t="str">
        <f t="shared" ca="1" si="6"/>
        <v/>
      </c>
      <c r="G8" s="19">
        <f t="shared" ca="1" si="3"/>
        <v>1.1314629540925273E-2</v>
      </c>
      <c r="H8" s="20">
        <f ca="1">D8/MAX(D8:D21)</f>
        <v>0.27772872109091817</v>
      </c>
      <c r="I8" s="19">
        <f t="shared" ca="1" si="7"/>
        <v>0.85294642309323199</v>
      </c>
      <c r="J8" s="21"/>
    </row>
    <row r="9" spans="1:21">
      <c r="A9" s="17">
        <f t="shared" ca="1" si="0"/>
        <v>6</v>
      </c>
      <c r="B9" s="18">
        <f t="shared" ca="1" si="1"/>
        <v>5.3</v>
      </c>
      <c r="C9" s="18">
        <f t="shared" ca="1" si="2"/>
        <v>4.5</v>
      </c>
      <c r="D9" s="19">
        <f t="shared" ca="1" si="4"/>
        <v>25.299719733335841</v>
      </c>
      <c r="E9" s="18">
        <f t="shared" ca="1" si="5"/>
        <v>94.619955555973064</v>
      </c>
      <c r="F9" s="68" t="str">
        <f t="shared" ca="1" si="6"/>
        <v/>
      </c>
      <c r="G9" s="19">
        <f t="shared" ca="1" si="3"/>
        <v>1.2655558654959263E-2</v>
      </c>
      <c r="H9" s="20">
        <f ca="1">D9/MAX(D9:D21)</f>
        <v>0.33327446530910182</v>
      </c>
      <c r="I9" s="19">
        <f t="shared" ca="1" si="7"/>
        <v>0.87671002552242372</v>
      </c>
      <c r="J9" s="21"/>
    </row>
    <row r="10" spans="1:21">
      <c r="A10" s="17">
        <f t="shared" ca="1" si="0"/>
        <v>7</v>
      </c>
      <c r="B10" s="18">
        <f t="shared" ca="1" si="1"/>
        <v>4.9000000000000004</v>
      </c>
      <c r="C10" s="18">
        <f t="shared" ca="1" si="2"/>
        <v>4.0999999999999996</v>
      </c>
      <c r="D10" s="19">
        <f t="shared" ca="1" si="4"/>
        <v>29.516339688891815</v>
      </c>
      <c r="E10" s="18">
        <f t="shared" ca="1" si="5"/>
        <v>94.619955555973064</v>
      </c>
      <c r="F10" s="68" t="str">
        <f t="shared" ca="1" si="6"/>
        <v/>
      </c>
      <c r="G10" s="19">
        <f t="shared" ca="1" si="3"/>
        <v>1.349199488413245E-2</v>
      </c>
      <c r="H10" s="20">
        <f ca="1">D10/MAX(D10:D21)</f>
        <v>0.38882020952728547</v>
      </c>
      <c r="I10" s="19">
        <f t="shared" ca="1" si="7"/>
        <v>0.93626250766348218</v>
      </c>
      <c r="J10" s="21"/>
    </row>
    <row r="11" spans="1:21">
      <c r="A11" s="17">
        <f t="shared" ca="1" si="0"/>
        <v>8</v>
      </c>
      <c r="B11" s="18">
        <f t="shared" ca="1" si="1"/>
        <v>4.9000000000000004</v>
      </c>
      <c r="C11" s="18">
        <f t="shared" ca="1" si="2"/>
        <v>4.0999999999999996</v>
      </c>
      <c r="D11" s="19">
        <f t="shared" ca="1" si="4"/>
        <v>33.732959644447789</v>
      </c>
      <c r="E11" s="18">
        <f t="shared" ca="1" si="5"/>
        <v>94.619955555973064</v>
      </c>
      <c r="F11" s="68" t="str">
        <f t="shared" ca="1" si="6"/>
        <v/>
      </c>
      <c r="G11" s="19">
        <f t="shared" ca="1" si="3"/>
        <v>1.349199488413245E-2</v>
      </c>
      <c r="H11" s="20">
        <f ca="1">D11/MAX(D11:D21)</f>
        <v>0.44436595374546911</v>
      </c>
      <c r="I11" s="19">
        <f t="shared" ca="1" si="7"/>
        <v>1.1624061540051291</v>
      </c>
      <c r="J11" s="21"/>
    </row>
    <row r="12" spans="1:21">
      <c r="A12" s="17">
        <f t="shared" ca="1" si="0"/>
        <v>9</v>
      </c>
      <c r="B12" s="18">
        <f t="shared" ca="1" si="1"/>
        <v>4.9000000000000004</v>
      </c>
      <c r="C12" s="18">
        <f t="shared" ca="1" si="2"/>
        <v>3.9</v>
      </c>
      <c r="D12" s="19">
        <f t="shared" ca="1" si="4"/>
        <v>37.949579600003759</v>
      </c>
      <c r="E12" s="18">
        <f t="shared" ca="1" si="5"/>
        <v>94.619955555973064</v>
      </c>
      <c r="F12" s="68" t="str">
        <f t="shared" ca="1" si="6"/>
        <v/>
      </c>
      <c r="G12" s="19">
        <f t="shared" ca="1" si="3"/>
        <v>1.3930720899353856E-2</v>
      </c>
      <c r="H12" s="20">
        <f ca="1">D12/MAX(D12:D21)</f>
        <v>0.4999116979636527</v>
      </c>
      <c r="I12" s="19">
        <f t="shared" ca="1" si="7"/>
        <v>1.3122744039418774</v>
      </c>
      <c r="J12" s="21"/>
    </row>
    <row r="13" spans="1:21">
      <c r="A13" s="17">
        <f t="shared" ca="1" si="0"/>
        <v>10</v>
      </c>
      <c r="B13" s="18">
        <f t="shared" ca="1" si="1"/>
        <v>4.8</v>
      </c>
      <c r="C13" s="18">
        <f t="shared" ca="1" si="2"/>
        <v>3.9</v>
      </c>
      <c r="D13" s="19">
        <f t="shared" ca="1" si="4"/>
        <v>42.166199555559729</v>
      </c>
      <c r="E13" s="18">
        <f t="shared" ca="1" si="5"/>
        <v>94.619955555973064</v>
      </c>
      <c r="F13" s="68" t="str">
        <f t="shared" ca="1" si="6"/>
        <v/>
      </c>
      <c r="G13" s="19">
        <f t="shared" ca="1" si="3"/>
        <v>1.3930720899353856E-2</v>
      </c>
      <c r="H13" s="20">
        <f ca="1">D13/MAX(D13:D21)</f>
        <v>0.55545744218183624</v>
      </c>
      <c r="I13" s="19">
        <f t="shared" ca="1" si="7"/>
        <v>1.5867766546736681</v>
      </c>
      <c r="J13" s="21"/>
    </row>
    <row r="14" spans="1:21">
      <c r="A14" s="17">
        <f t="shared" ca="1" si="0"/>
        <v>11</v>
      </c>
      <c r="B14" s="18">
        <f t="shared" ca="1" si="1"/>
        <v>4.8</v>
      </c>
      <c r="C14" s="18">
        <f t="shared" ca="1" si="2"/>
        <v>3.9</v>
      </c>
      <c r="D14" s="19">
        <f t="shared" ca="1" si="4"/>
        <v>46.382819511115699</v>
      </c>
      <c r="E14" s="18">
        <f t="shared" ca="1" si="5"/>
        <v>94.619955555973064</v>
      </c>
      <c r="F14" s="68" t="str">
        <f t="shared" ca="1" si="6"/>
        <v/>
      </c>
      <c r="G14" s="19">
        <f t="shared" ca="1" si="3"/>
        <v>1.3930720899353856E-2</v>
      </c>
      <c r="H14" s="20">
        <f ca="1">D14/MAX(D14:D21)</f>
        <v>0.61100318640001983</v>
      </c>
      <c r="I14" s="19">
        <f t="shared" ca="1" si="7"/>
        <v>1.8450891333414743</v>
      </c>
      <c r="J14" s="21"/>
    </row>
    <row r="15" spans="1:21">
      <c r="A15" s="17">
        <f t="shared" ca="1" si="0"/>
        <v>12</v>
      </c>
      <c r="B15" s="18">
        <f t="shared" ca="1" si="1"/>
        <v>4.8</v>
      </c>
      <c r="C15" s="18">
        <f t="shared" ca="1" si="2"/>
        <v>3.9</v>
      </c>
      <c r="D15" s="19">
        <f t="shared" ca="1" si="4"/>
        <v>50.599439466671669</v>
      </c>
      <c r="E15" s="18">
        <f t="shared" ca="1" si="5"/>
        <v>94.619955555973064</v>
      </c>
      <c r="F15" s="68" t="str">
        <f t="shared" ca="1" si="6"/>
        <v/>
      </c>
      <c r="G15" s="19">
        <f t="shared" ca="1" si="3"/>
        <v>1.3930720899353856E-2</v>
      </c>
      <c r="H15" s="20">
        <f ca="1">D15/MAX(D15:D21)</f>
        <v>0.66654893061820342</v>
      </c>
      <c r="I15" s="19">
        <f t="shared" ca="1" si="7"/>
        <v>2.2141069600097696</v>
      </c>
      <c r="J15" s="21"/>
    </row>
    <row r="16" spans="1:21">
      <c r="A16" s="17">
        <f t="shared" ca="1" si="0"/>
        <v>13</v>
      </c>
      <c r="B16" s="18">
        <f t="shared" ca="1" si="1"/>
        <v>4.5999999999999996</v>
      </c>
      <c r="C16" s="18">
        <f t="shared" ca="1" si="2"/>
        <v>2.4</v>
      </c>
      <c r="D16" s="19">
        <f t="shared" ca="1" si="4"/>
        <v>54.816059422227639</v>
      </c>
      <c r="E16" s="18">
        <f t="shared" ca="1" si="5"/>
        <v>94.619955555973064</v>
      </c>
      <c r="F16" s="68" t="str">
        <f t="shared" ca="1" si="6"/>
        <v>1Y</v>
      </c>
      <c r="G16" s="19">
        <f t="shared" ca="1" si="3"/>
        <v>1.7709417106668224E-2</v>
      </c>
      <c r="H16" s="20">
        <f ca="1">D16/MAX(D16:D21)</f>
        <v>0.72209467483638701</v>
      </c>
      <c r="I16" s="19">
        <f t="shared" ca="1" si="7"/>
        <v>2.5651652377994396</v>
      </c>
      <c r="J16" s="21"/>
    </row>
    <row r="17" spans="1:10">
      <c r="A17" s="17">
        <f t="shared" ca="1" si="0"/>
        <v>14</v>
      </c>
      <c r="B17" s="18">
        <f t="shared" ca="1" si="1"/>
        <v>4.4000000000000004</v>
      </c>
      <c r="C17" s="18">
        <f t="shared" ca="1" si="2"/>
        <v>2.4</v>
      </c>
      <c r="D17" s="19">
        <f t="shared" ca="1" si="4"/>
        <v>59.03563681637727</v>
      </c>
      <c r="E17" s="18">
        <f t="shared" ca="1" si="5"/>
        <v>97.577394149630251</v>
      </c>
      <c r="F17" s="68" t="str">
        <f t="shared" ca="1" si="6"/>
        <v>2Y</v>
      </c>
      <c r="G17" s="19">
        <f t="shared" ca="1" si="3"/>
        <v>1.7709417106668224E-2</v>
      </c>
      <c r="H17" s="20">
        <f ca="1">D17/MAX(D17:D22)</f>
        <v>0.77767937754013394</v>
      </c>
      <c r="I17" s="19">
        <f t="shared" ca="1" si="7"/>
        <v>3.282259595708187</v>
      </c>
      <c r="J17" s="21"/>
    </row>
    <row r="18" spans="1:10">
      <c r="A18" s="17">
        <f t="shared" ca="1" si="0"/>
        <v>15</v>
      </c>
      <c r="B18" s="18">
        <f t="shared" ca="1" si="1"/>
        <v>3.4</v>
      </c>
      <c r="C18" s="18">
        <f t="shared" ca="1" si="2"/>
        <v>1.3</v>
      </c>
      <c r="D18" s="19">
        <f t="shared" ca="1" si="4"/>
        <v>63.255385810755683</v>
      </c>
      <c r="E18" s="18">
        <f t="shared" ca="1" si="5"/>
        <v>97.748994378410472</v>
      </c>
      <c r="F18" s="68" t="str">
        <f t="shared" ca="1" si="6"/>
        <v>3Y</v>
      </c>
      <c r="G18" s="19">
        <f t="shared" ca="1" si="3"/>
        <v>2.1117382954510412E-2</v>
      </c>
      <c r="H18" s="20">
        <f ca="1">D18/MAX(D18:D23)</f>
        <v>0.83326634074222228</v>
      </c>
      <c r="I18" s="19">
        <f t="shared" ca="1" si="7"/>
        <v>2.4896485746944781</v>
      </c>
      <c r="J18" s="21"/>
    </row>
    <row r="19" spans="1:10">
      <c r="A19" s="17">
        <f t="shared" ca="1" si="0"/>
        <v>16</v>
      </c>
      <c r="B19" s="18">
        <f t="shared" ca="1" si="1"/>
        <v>1.4</v>
      </c>
      <c r="C19" s="18">
        <f t="shared" ca="1" si="2"/>
        <v>0.2</v>
      </c>
      <c r="D19" s="19">
        <f t="shared" ca="1" si="4"/>
        <v>67.475600436941434</v>
      </c>
      <c r="E19" s="18">
        <f t="shared" ca="1" si="5"/>
        <v>98.214626185755947</v>
      </c>
      <c r="F19" s="68" t="str">
        <f t="shared" ca="1" si="6"/>
        <v>4Y</v>
      </c>
      <c r="G19" s="19">
        <f t="shared" ca="1" si="3"/>
        <v>2.5181171134059138E-2</v>
      </c>
      <c r="H19" s="20">
        <f ca="1">D19/MAX(D19:D24)</f>
        <v>0.888859437735248</v>
      </c>
      <c r="I19" s="19">
        <f t="shared" ca="1" si="7"/>
        <v>0.6203367589744796</v>
      </c>
      <c r="J19" s="21"/>
    </row>
    <row r="20" spans="1:10">
      <c r="A20" s="17">
        <f t="shared" ca="1" si="0"/>
        <v>17</v>
      </c>
      <c r="B20" s="18">
        <f t="shared" ca="1" si="1"/>
        <v>0.4</v>
      </c>
      <c r="C20" s="18">
        <f t="shared" ca="1" si="2"/>
        <v>0</v>
      </c>
      <c r="D20" s="19">
        <f t="shared" ca="1" si="4"/>
        <v>71.695067160247845</v>
      </c>
      <c r="E20" s="18">
        <f t="shared" ca="1" si="5"/>
        <v>97.466723306409179</v>
      </c>
      <c r="F20" s="68" t="str">
        <f t="shared" ca="1" si="6"/>
        <v>5Y</v>
      </c>
      <c r="G20" s="19">
        <f t="shared" ca="1" si="3"/>
        <v>2.5999999999999999E-2</v>
      </c>
      <c r="H20" s="20">
        <f ca="1">D20/MAX(D20:D25)</f>
        <v>0.94444268256647734</v>
      </c>
      <c r="I20" s="19">
        <f t="shared" ca="1" si="7"/>
        <v>0.21779099349113096</v>
      </c>
    </row>
    <row r="21" spans="1:10">
      <c r="A21" s="17">
        <f t="shared" ca="1" si="0"/>
        <v>18</v>
      </c>
      <c r="B21" s="18">
        <f t="shared" ca="1" si="1"/>
        <v>0</v>
      </c>
      <c r="C21" s="18">
        <f t="shared" ca="1" si="2"/>
        <v>0</v>
      </c>
      <c r="D21" s="19">
        <f t="shared" ca="1" si="4"/>
        <v>75.912565668273231</v>
      </c>
      <c r="E21" s="18">
        <f t="shared" ca="1" si="5"/>
        <v>95.498508025379621</v>
      </c>
      <c r="F21" s="68" t="str">
        <f t="shared" ca="1" si="6"/>
        <v>6Y</v>
      </c>
      <c r="G21" s="19">
        <f t="shared" ca="1" si="3"/>
        <v>2.5999999999999999E-2</v>
      </c>
      <c r="H21" s="20">
        <f ca="1">D21/MAX(D21:D26)</f>
        <v>1</v>
      </c>
      <c r="I21" s="19">
        <f t="shared" ca="1" si="7"/>
        <v>0.22439761923263571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31" sqref="N31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2D303421-FE00-41C3-92B7-AB34E9C10191}"/>
</file>

<file path=customXml/itemProps2.xml><?xml version="1.0" encoding="utf-8"?>
<ds:datastoreItem xmlns:ds="http://schemas.openxmlformats.org/officeDocument/2006/customXml" ds:itemID="{05638BD1-D9EC-4D4B-9667-7F9061A69A09}"/>
</file>

<file path=customXml/itemProps3.xml><?xml version="1.0" encoding="utf-8"?>
<ds:datastoreItem xmlns:ds="http://schemas.openxmlformats.org/officeDocument/2006/customXml" ds:itemID="{F6E4CEDD-0B62-41A2-942E-0F1945A39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UT-GOM2-1-H005-10FB-3</vt:lpstr>
      <vt:lpstr>UT-GOM2-1-H005-10FB-3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