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16960" yWindow="6720" windowWidth="30940" windowHeight="20100" tabRatio="623" activeTab="2"/>
  </bookViews>
  <sheets>
    <sheet name="UT-GOM2-1-H005-10FB-2" sheetId="27" r:id="rId1"/>
    <sheet name="UT-GOM2-1-H005-10FB-2 table" sheetId="30" r:id="rId2"/>
    <sheet name="graph" sheetId="31" r:id="rId3"/>
  </sheets>
  <definedNames>
    <definedName name="_xlnm.Print_Area" localSheetId="0">'UT-GOM2-1-H005-10FB-2'!#REF!</definedName>
    <definedName name="_xlnm.Print_Area" localSheetId="1">'UT-GOM2-1-H005-10FB-2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0" i="30" l="1"/>
  <c r="B30" i="30"/>
  <c r="C30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E30" i="30"/>
  <c r="F30" i="30"/>
  <c r="G30" i="30"/>
  <c r="D31" i="30"/>
  <c r="D32" i="30"/>
  <c r="D33" i="30"/>
  <c r="H30" i="30"/>
  <c r="I30" i="30"/>
  <c r="A31" i="30"/>
  <c r="B31" i="30"/>
  <c r="C31" i="30"/>
  <c r="E31" i="30"/>
  <c r="F31" i="30"/>
  <c r="G31" i="30"/>
  <c r="H31" i="30"/>
  <c r="I31" i="30"/>
  <c r="A32" i="30"/>
  <c r="B32" i="30"/>
  <c r="C32" i="30"/>
  <c r="E32" i="30"/>
  <c r="F32" i="30"/>
  <c r="G32" i="30"/>
  <c r="H32" i="30"/>
  <c r="I32" i="30"/>
  <c r="A33" i="30"/>
  <c r="B33" i="30"/>
  <c r="C33" i="30"/>
  <c r="E33" i="30"/>
  <c r="F33" i="30"/>
  <c r="G33" i="30"/>
  <c r="H33" i="30"/>
  <c r="I33" i="30"/>
  <c r="T33" i="27"/>
  <c r="T34" i="27"/>
  <c r="T30" i="27"/>
  <c r="T31" i="27"/>
  <c r="T26" i="27"/>
  <c r="T27" i="27"/>
  <c r="T28" i="27"/>
  <c r="T24" i="27"/>
  <c r="T21" i="27"/>
  <c r="T22" i="27"/>
  <c r="T19" i="27"/>
  <c r="T13" i="27"/>
  <c r="T12" i="27"/>
  <c r="T11" i="27"/>
  <c r="T10" i="27"/>
  <c r="T9" i="27"/>
  <c r="T8" i="27"/>
  <c r="T7" i="27"/>
  <c r="T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N2" i="27"/>
  <c r="R28" i="27"/>
  <c r="S28" i="27"/>
  <c r="U28" i="27"/>
  <c r="S6" i="27"/>
  <c r="Q6" i="27"/>
  <c r="U6" i="27"/>
  <c r="V6" i="27"/>
  <c r="S7" i="27"/>
  <c r="Q7" i="27"/>
  <c r="U7" i="27"/>
  <c r="V7" i="27"/>
  <c r="S8" i="27"/>
  <c r="Q8" i="27"/>
  <c r="U8" i="27"/>
  <c r="V8" i="27"/>
  <c r="S9" i="27"/>
  <c r="Q9" i="27"/>
  <c r="U9" i="27"/>
  <c r="V9" i="27"/>
  <c r="S10" i="27"/>
  <c r="Q10" i="27"/>
  <c r="U10" i="27"/>
  <c r="V10" i="27"/>
  <c r="S11" i="27"/>
  <c r="Q11" i="27"/>
  <c r="U11" i="27"/>
  <c r="V11" i="27"/>
  <c r="S12" i="27"/>
  <c r="Q12" i="27"/>
  <c r="U12" i="27"/>
  <c r="V12" i="27"/>
  <c r="S13" i="27"/>
  <c r="Q13" i="27"/>
  <c r="U13" i="27"/>
  <c r="V13" i="27"/>
  <c r="S14" i="27"/>
  <c r="Q14" i="27"/>
  <c r="U14" i="27"/>
  <c r="V14" i="27"/>
  <c r="S15" i="27"/>
  <c r="Q15" i="27"/>
  <c r="U15" i="27"/>
  <c r="V15" i="27"/>
  <c r="S16" i="27"/>
  <c r="Q16" i="27"/>
  <c r="U16" i="27"/>
  <c r="V16" i="27"/>
  <c r="S17" i="27"/>
  <c r="Q17" i="27"/>
  <c r="U17" i="27"/>
  <c r="V17" i="27"/>
  <c r="S18" i="27"/>
  <c r="Q18" i="27"/>
  <c r="U18" i="27"/>
  <c r="V18" i="27"/>
  <c r="S19" i="27"/>
  <c r="Q19" i="27"/>
  <c r="U19" i="27"/>
  <c r="V19" i="27"/>
  <c r="S20" i="27"/>
  <c r="Q20" i="27"/>
  <c r="U20" i="27"/>
  <c r="V20" i="27"/>
  <c r="S21" i="27"/>
  <c r="Q21" i="27"/>
  <c r="U21" i="27"/>
  <c r="V21" i="27"/>
  <c r="S22" i="27"/>
  <c r="Q22" i="27"/>
  <c r="U22" i="27"/>
  <c r="V22" i="27"/>
  <c r="S23" i="27"/>
  <c r="Q23" i="27"/>
  <c r="U23" i="27"/>
  <c r="V23" i="27"/>
  <c r="S24" i="27"/>
  <c r="Q24" i="27"/>
  <c r="U24" i="27"/>
  <c r="V24" i="27"/>
  <c r="S25" i="27"/>
  <c r="Q25" i="27"/>
  <c r="U25" i="27"/>
  <c r="V25" i="27"/>
  <c r="S26" i="27"/>
  <c r="Q26" i="27"/>
  <c r="U26" i="27"/>
  <c r="V26" i="27"/>
  <c r="S27" i="27"/>
  <c r="Q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Y28" i="27"/>
  <c r="Z28" i="27"/>
  <c r="AB28" i="27"/>
  <c r="O29" i="27"/>
  <c r="P29" i="27"/>
  <c r="Q29" i="27"/>
  <c r="R29" i="27"/>
  <c r="S29" i="27"/>
  <c r="U29" i="27"/>
  <c r="V29" i="27"/>
  <c r="W29" i="27"/>
  <c r="X29" i="27"/>
  <c r="Y29" i="27"/>
  <c r="Z29" i="27"/>
  <c r="AB29" i="27"/>
  <c r="O30" i="27"/>
  <c r="P30" i="27"/>
  <c r="Q30" i="27"/>
  <c r="R30" i="27"/>
  <c r="S30" i="27"/>
  <c r="U30" i="27"/>
  <c r="V30" i="27"/>
  <c r="W30" i="27"/>
  <c r="X30" i="27"/>
  <c r="Y30" i="27"/>
  <c r="Z30" i="27"/>
  <c r="AB30" i="27"/>
  <c r="O31" i="27"/>
  <c r="P31" i="27"/>
  <c r="Q31" i="27"/>
  <c r="R31" i="27"/>
  <c r="S31" i="27"/>
  <c r="U31" i="27"/>
  <c r="V31" i="27"/>
  <c r="W31" i="27"/>
  <c r="X31" i="27"/>
  <c r="Y31" i="27"/>
  <c r="Z31" i="27"/>
  <c r="AB31" i="27"/>
  <c r="O32" i="27"/>
  <c r="P32" i="27"/>
  <c r="Q32" i="27"/>
  <c r="R32" i="27"/>
  <c r="S32" i="27"/>
  <c r="U32" i="27"/>
  <c r="V32" i="27"/>
  <c r="W32" i="27"/>
  <c r="X32" i="27"/>
  <c r="Y32" i="27"/>
  <c r="Z32" i="27"/>
  <c r="AB32" i="27"/>
  <c r="O33" i="27"/>
  <c r="P33" i="27"/>
  <c r="Q33" i="27"/>
  <c r="R33" i="27"/>
  <c r="S33" i="27"/>
  <c r="U33" i="27"/>
  <c r="V33" i="27"/>
  <c r="W33" i="27"/>
  <c r="X33" i="27"/>
  <c r="Y33" i="27"/>
  <c r="Z33" i="27"/>
  <c r="AB33" i="27"/>
  <c r="O34" i="27"/>
  <c r="P34" i="27"/>
  <c r="Q34" i="27"/>
  <c r="R34" i="27"/>
  <c r="S34" i="27"/>
  <c r="U34" i="27"/>
  <c r="V34" i="27"/>
  <c r="W34" i="27"/>
  <c r="X34" i="27"/>
  <c r="Y34" i="27"/>
  <c r="Z34" i="27"/>
  <c r="AB34" i="27"/>
  <c r="O35" i="27"/>
  <c r="P35" i="27"/>
  <c r="Q35" i="27"/>
  <c r="R35" i="27"/>
  <c r="S35" i="27"/>
  <c r="U35" i="27"/>
  <c r="V35" i="27"/>
  <c r="W35" i="27"/>
  <c r="X35" i="27"/>
  <c r="Y35" i="27"/>
  <c r="Z35" i="27"/>
  <c r="AB35" i="27"/>
  <c r="X7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Y27" i="27"/>
  <c r="Y7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G25" i="30"/>
  <c r="E14" i="30"/>
  <c r="B5" i="30"/>
  <c r="C6" i="30"/>
  <c r="E11" i="30"/>
  <c r="B15" i="30"/>
  <c r="G8" i="30"/>
  <c r="F14" i="30"/>
  <c r="B16" i="30"/>
  <c r="I20" i="30"/>
  <c r="E16" i="30"/>
  <c r="C25" i="30"/>
  <c r="B22" i="30"/>
  <c r="A23" i="30"/>
  <c r="A21" i="30"/>
  <c r="F16" i="30"/>
  <c r="C17" i="30"/>
  <c r="E20" i="30"/>
  <c r="E28" i="30"/>
  <c r="G15" i="30"/>
  <c r="C15" i="30"/>
  <c r="G13" i="30"/>
  <c r="G16" i="30"/>
  <c r="C16" i="30"/>
  <c r="I22" i="30"/>
  <c r="F25" i="30"/>
  <c r="C11" i="30"/>
  <c r="I15" i="30"/>
  <c r="A25" i="30"/>
  <c r="G23" i="30"/>
  <c r="E21" i="30"/>
  <c r="G21" i="30"/>
  <c r="E8" i="30"/>
  <c r="F12" i="30"/>
  <c r="B8" i="30"/>
  <c r="G18" i="30"/>
  <c r="F27" i="30"/>
  <c r="E24" i="30"/>
  <c r="E25" i="30"/>
  <c r="G11" i="30"/>
  <c r="A26" i="30"/>
  <c r="C27" i="30"/>
  <c r="E27" i="30"/>
  <c r="A12" i="30"/>
  <c r="E9" i="30"/>
  <c r="I19" i="30"/>
  <c r="F29" i="30"/>
  <c r="B23" i="30"/>
  <c r="C29" i="30"/>
  <c r="A28" i="30"/>
  <c r="I28" i="30"/>
  <c r="B7" i="30"/>
  <c r="G4" i="30"/>
  <c r="I11" i="30"/>
  <c r="I23" i="30"/>
  <c r="B11" i="30"/>
  <c r="E4" i="30"/>
  <c r="F6" i="30"/>
  <c r="F15" i="30"/>
  <c r="G27" i="30"/>
  <c r="E12" i="30"/>
  <c r="E26" i="30"/>
  <c r="G19" i="30"/>
  <c r="B24" i="30"/>
  <c r="B17" i="30"/>
  <c r="A17" i="30"/>
  <c r="A4" i="30"/>
  <c r="F22" i="30"/>
  <c r="I5" i="30"/>
  <c r="G14" i="30"/>
  <c r="G22" i="30"/>
  <c r="B19" i="30"/>
  <c r="F28" i="30"/>
  <c r="G24" i="30"/>
  <c r="C26" i="30"/>
  <c r="F23" i="30"/>
  <c r="I6" i="30"/>
  <c r="B14" i="30"/>
  <c r="B21" i="30"/>
  <c r="B29" i="30"/>
  <c r="B9" i="30"/>
  <c r="A9" i="30"/>
  <c r="C10" i="30"/>
  <c r="B10" i="30"/>
  <c r="F7" i="30"/>
  <c r="I13" i="30"/>
  <c r="G9" i="30"/>
  <c r="I16" i="30"/>
  <c r="A11" i="30"/>
  <c r="F20" i="30"/>
  <c r="B13" i="30"/>
  <c r="B26" i="30"/>
  <c r="I17" i="30"/>
  <c r="A8" i="30"/>
  <c r="B18" i="30"/>
  <c r="C9" i="30"/>
  <c r="F24" i="30"/>
  <c r="F5" i="30"/>
  <c r="G28" i="30"/>
  <c r="E7" i="30"/>
  <c r="A14" i="30"/>
  <c r="C13" i="30"/>
  <c r="B6" i="30"/>
  <c r="F10" i="30"/>
  <c r="F13" i="30"/>
  <c r="C14" i="30"/>
  <c r="E13" i="30"/>
  <c r="A5" i="30"/>
  <c r="C7" i="30"/>
  <c r="A29" i="30"/>
  <c r="I25" i="30"/>
  <c r="F11" i="30"/>
  <c r="C8" i="30"/>
  <c r="A15" i="30"/>
  <c r="A20" i="30"/>
  <c r="G20" i="30"/>
  <c r="F8" i="30"/>
  <c r="C20" i="30"/>
  <c r="E19" i="30"/>
  <c r="B27" i="30"/>
  <c r="A18" i="30"/>
  <c r="B28" i="30"/>
  <c r="C12" i="30"/>
  <c r="B12" i="30"/>
  <c r="F21" i="30"/>
  <c r="C23" i="30"/>
  <c r="I9" i="30"/>
  <c r="A13" i="30"/>
  <c r="E23" i="30"/>
  <c r="A16" i="30"/>
  <c r="F18" i="30"/>
  <c r="I26" i="30"/>
  <c r="F4" i="30"/>
  <c r="C24" i="30"/>
  <c r="I10" i="30"/>
  <c r="G12" i="30"/>
  <c r="I21" i="30"/>
  <c r="I29" i="30"/>
  <c r="C4" i="30"/>
  <c r="B4" i="30"/>
  <c r="G5" i="30"/>
  <c r="C5" i="30"/>
  <c r="I27" i="30"/>
  <c r="A6" i="30"/>
  <c r="A24" i="30"/>
  <c r="I24" i="30"/>
  <c r="I4" i="30"/>
  <c r="I14" i="30"/>
  <c r="F9" i="30"/>
  <c r="C22" i="30"/>
  <c r="G29" i="30"/>
  <c r="C21" i="30"/>
  <c r="F26" i="30"/>
  <c r="G26" i="30"/>
  <c r="C18" i="30"/>
  <c r="I18" i="30"/>
  <c r="F17" i="30"/>
  <c r="A27" i="30"/>
  <c r="E22" i="30"/>
  <c r="G17" i="30"/>
  <c r="I12" i="30"/>
  <c r="G6" i="30"/>
  <c r="G10" i="30"/>
  <c r="C28" i="30"/>
  <c r="B25" i="30"/>
  <c r="E29" i="30"/>
  <c r="A10" i="30"/>
  <c r="F19" i="30"/>
  <c r="E15" i="30"/>
  <c r="G7" i="30"/>
  <c r="A7" i="30"/>
  <c r="E17" i="30"/>
  <c r="E10" i="30"/>
  <c r="I8" i="30"/>
  <c r="E6" i="30"/>
  <c r="I7" i="30"/>
  <c r="C19" i="30"/>
  <c r="A22" i="30"/>
  <c r="B20" i="30"/>
  <c r="A19" i="30"/>
  <c r="E18" i="30"/>
  <c r="E5" i="30"/>
  <c r="H4" i="30"/>
  <c r="H5" i="30"/>
  <c r="H6" i="30"/>
  <c r="H29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8" i="30"/>
  <c r="H25" i="30"/>
  <c r="H27" i="30"/>
  <c r="H26" i="30"/>
</calcChain>
</file>

<file path=xl/sharedStrings.xml><?xml version="1.0" encoding="utf-8"?>
<sst xmlns="http://schemas.openxmlformats.org/spreadsheetml/2006/main" count="82" uniqueCount="68">
  <si>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</si>
  <si>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</si>
  <si>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</si>
  <si>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</si>
  <si>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</si>
  <si>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</si>
  <si>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</si>
  <si>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</si>
  <si>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</si>
  <si>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</si>
  <si>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</si>
  <si>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</si>
  <si>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</si>
  <si>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</si>
  <si>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</si>
  <si>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</si>
  <si>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</si>
  <si>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</si>
  <si>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</si>
  <si>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</si>
  <si>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</si>
  <si>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</si>
  <si>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</si>
  <si>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</si>
  <si>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</si>
  <si>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</si>
  <si>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</si>
  <si>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</si>
  <si>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</si>
  <si>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</si>
  <si>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</si>
  <si>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</si>
  <si>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</si>
  <si>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</si>
  <si>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</si>
  <si>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</si>
  <si>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</si>
  <si>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</si>
  <si>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</si>
  <si>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</si>
  <si>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</si>
  <si>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</si>
  <si>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</si>
  <si>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</si>
  <si>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</si>
  <si>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</si>
  <si>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</si>
  <si>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</si>
  <si>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Green</t>
  </si>
  <si>
    <t>for plot</t>
  </si>
  <si>
    <t>End P
(MPa)</t>
  </si>
  <si>
    <t>START</t>
  </si>
  <si>
    <t>1G</t>
  </si>
  <si>
    <t>Cu tube 21</t>
  </si>
  <si>
    <t>2G</t>
  </si>
  <si>
    <t>3G</t>
  </si>
  <si>
    <t>4G</t>
  </si>
  <si>
    <t>5G</t>
  </si>
  <si>
    <t>6G</t>
  </si>
  <si>
    <t>7G</t>
  </si>
  <si>
    <t>8G</t>
  </si>
  <si>
    <t>Cu tube 22</t>
  </si>
  <si>
    <t>9G</t>
  </si>
  <si>
    <t>10G</t>
  </si>
  <si>
    <t>Cu tube 23</t>
  </si>
  <si>
    <t>11G</t>
  </si>
  <si>
    <t>UT-GOM2-1-H005-10FB-2 / 120-042</t>
  </si>
  <si>
    <t>UT-GOM2-1-H005-10FB-2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</si>
</sst>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164" fontId="1" fillId="0" borderId="16" xfId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wrapText="1"/>
    </xf>
    <xf numFmtId="164" fontId="1" fillId="0" borderId="15" xfId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6" xfId="1" applyNumberFormat="1" applyFont="1" applyFill="1" applyBorder="1" applyAlignment="1">
      <alignment horizontal="center" wrapText="1"/>
    </xf>
    <xf numFmtId="164" fontId="1" fillId="0" borderId="17" xfId="1" applyNumberFormat="1" applyFont="1" applyFill="1" applyBorder="1" applyAlignment="1">
      <alignment horizontal="center" wrapText="1"/>
    </xf>
    <xf numFmtId="0" fontId="15" fillId="0" borderId="18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1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</cellXfs>
  <cellStyles count="6">
    <cellStyle name="Comma" xfId="1" builtinId="3"/>
    <cellStyle name="Followed Hyperlink" xfId="5" builtinId="9" hidden="1"/>
    <cellStyle name="Hyperlink" xfId="4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'UT-GOM2-1-H005-10FB-2'!$Z$4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'UT-GOM2-1-H005-10FB-2'!$Z$6:$Z$189</c:f>
              <c:numCache>
                <c:formatCode>0.00</c:formatCode>
                <c:ptCount val="184"/>
                <c:pt idx="0">
                  <c:v>0.0</c:v>
                </c:pt>
                <c:pt idx="1">
                  <c:v>0.991630209956034</c:v>
                </c:pt>
                <c:pt idx="2">
                  <c:v>1.552179901261513</c:v>
                </c:pt>
                <c:pt idx="3">
                  <c:v>1.462222652942017</c:v>
                </c:pt>
                <c:pt idx="4">
                  <c:v>2.054406807024105</c:v>
                </c:pt>
                <c:pt idx="5">
                  <c:v>2.375153232844025</c:v>
                </c:pt>
                <c:pt idx="6">
                  <c:v>3.63116904955662</c:v>
                </c:pt>
                <c:pt idx="7">
                  <c:v>6.042147515505833</c:v>
                </c:pt>
                <c:pt idx="8">
                  <c:v>7.745167297533594</c:v>
                </c:pt>
                <c:pt idx="9">
                  <c:v>10.10467319866201</c:v>
                </c:pt>
                <c:pt idx="10">
                  <c:v>11.90782566378528</c:v>
                </c:pt>
                <c:pt idx="11">
                  <c:v>13.78386228238519</c:v>
                </c:pt>
                <c:pt idx="12">
                  <c:v>15.53450325778282</c:v>
                </c:pt>
                <c:pt idx="13">
                  <c:v>17.15341326414527</c:v>
                </c:pt>
                <c:pt idx="14">
                  <c:v>19.04963476235446</c:v>
                </c:pt>
                <c:pt idx="15">
                  <c:v>20.75814849069283</c:v>
                </c:pt>
                <c:pt idx="16">
                  <c:v>22.95881613678212</c:v>
                </c:pt>
                <c:pt idx="17">
                  <c:v>24.45653929462529</c:v>
                </c:pt>
                <c:pt idx="18">
                  <c:v>25.02224077323677</c:v>
                </c:pt>
                <c:pt idx="19">
                  <c:v>25.43572986414062</c:v>
                </c:pt>
                <c:pt idx="20">
                  <c:v>25.79360794373518</c:v>
                </c:pt>
                <c:pt idx="21">
                  <c:v>25.77303859289125</c:v>
                </c:pt>
                <c:pt idx="22">
                  <c:v>25.85132020068756</c:v>
                </c:pt>
                <c:pt idx="23">
                  <c:v>25.90859316910177</c:v>
                </c:pt>
                <c:pt idx="24">
                  <c:v>26.17325812790934</c:v>
                </c:pt>
                <c:pt idx="25">
                  <c:v>26.14755447847428</c:v>
                </c:pt>
                <c:pt idx="26">
                  <c:v>26.48262594810035</c:v>
                </c:pt>
                <c:pt idx="27">
                  <c:v>27.0924581427127</c:v>
                </c:pt>
                <c:pt idx="28">
                  <c:v>27.20610389950578</c:v>
                </c:pt>
                <c:pt idx="29">
                  <c:v>27.51084011208494</c:v>
                </c:pt>
              </c:numCache>
            </c:numRef>
          </c:xVal>
          <c:yVal>
            <c:numRef>
              <c:f>'UT-GOM2-1-H005-10FB-2'!$AB$6:$AB$189</c:f>
              <c:numCache>
                <c:formatCode>0.0</c:formatCode>
                <c:ptCount val="184"/>
                <c:pt idx="0">
                  <c:v>20.3</c:v>
                </c:pt>
                <c:pt idx="1">
                  <c:v>15.1</c:v>
                </c:pt>
                <c:pt idx="2">
                  <c:v>9.9</c:v>
                </c:pt>
                <c:pt idx="3">
                  <c:v>6.5</c:v>
                </c:pt>
                <c:pt idx="4">
                  <c:v>5.4</c:v>
                </c:pt>
                <c:pt idx="5">
                  <c:v>4.5</c:v>
                </c:pt>
                <c:pt idx="6">
                  <c:v>3.7</c:v>
                </c:pt>
                <c:pt idx="7">
                  <c:v>4.0</c:v>
                </c:pt>
                <c:pt idx="8">
                  <c:v>4.1</c:v>
                </c:pt>
                <c:pt idx="9">
                  <c:v>4.3</c:v>
                </c:pt>
                <c:pt idx="10">
                  <c:v>4.2</c:v>
                </c:pt>
                <c:pt idx="11">
                  <c:v>4.3</c:v>
                </c:pt>
                <c:pt idx="12">
                  <c:v>4.2</c:v>
                </c:pt>
                <c:pt idx="13">
                  <c:v>4.0</c:v>
                </c:pt>
                <c:pt idx="14">
                  <c:v>3.9</c:v>
                </c:pt>
                <c:pt idx="15">
                  <c:v>3.4</c:v>
                </c:pt>
                <c:pt idx="16">
                  <c:v>3.3</c:v>
                </c:pt>
                <c:pt idx="17">
                  <c:v>3.1</c:v>
                </c:pt>
                <c:pt idx="18">
                  <c:v>2.3</c:v>
                </c:pt>
                <c:pt idx="19">
                  <c:v>1.8</c:v>
                </c:pt>
                <c:pt idx="20">
                  <c:v>1.6</c:v>
                </c:pt>
                <c:pt idx="21">
                  <c:v>1.3</c:v>
                </c:pt>
                <c:pt idx="22">
                  <c:v>1.0</c:v>
                </c:pt>
                <c:pt idx="23">
                  <c:v>0.7</c:v>
                </c:pt>
                <c:pt idx="24">
                  <c:v>0.6</c:v>
                </c:pt>
                <c:pt idx="25">
                  <c:v>0.4</c:v>
                </c:pt>
                <c:pt idx="26">
                  <c:v>0.2</c:v>
                </c:pt>
                <c:pt idx="27">
                  <c:v>0.1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'UT-GOM2-1-H005-10FB-2'!$U$4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'UT-GOM2-1-H005-10FB-2'!$V$6:$V$189</c:f>
              <c:numCache>
                <c:formatCode>0.00</c:formatCode>
                <c:ptCount val="18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1.617815559443265</c:v>
                </c:pt>
                <c:pt idx="9">
                  <c:v>3.339791686628408</c:v>
                </c:pt>
                <c:pt idx="10">
                  <c:v>5.404429913251465</c:v>
                </c:pt>
                <c:pt idx="11">
                  <c:v>6.98630258429714</c:v>
                </c:pt>
                <c:pt idx="12">
                  <c:v>8.719170820655059</c:v>
                </c:pt>
                <c:pt idx="13">
                  <c:v>10.49054724004315</c:v>
                </c:pt>
                <c:pt idx="14">
                  <c:v>12.25312704303011</c:v>
                </c:pt>
                <c:pt idx="15">
                  <c:v>13.89049625891964</c:v>
                </c:pt>
                <c:pt idx="16">
                  <c:v>15.6049181437922</c:v>
                </c:pt>
                <c:pt idx="17">
                  <c:v>17.31934002866476</c:v>
                </c:pt>
                <c:pt idx="18">
                  <c:v>19.07228824802884</c:v>
                </c:pt>
                <c:pt idx="19">
                  <c:v>20.32426920473058</c:v>
                </c:pt>
                <c:pt idx="20">
                  <c:v>21.12361089247092</c:v>
                </c:pt>
                <c:pt idx="21">
                  <c:v>21.90369133472354</c:v>
                </c:pt>
                <c:pt idx="22">
                  <c:v>22.63561866325686</c:v>
                </c:pt>
                <c:pt idx="23">
                  <c:v>23.44907895064046</c:v>
                </c:pt>
                <c:pt idx="24">
                  <c:v>23.8747267754342</c:v>
                </c:pt>
                <c:pt idx="25">
                  <c:v>24.44225720849252</c:v>
                </c:pt>
                <c:pt idx="26">
                  <c:v>25.32698104085351</c:v>
                </c:pt>
                <c:pt idx="27">
                  <c:v>26.19307910832269</c:v>
                </c:pt>
                <c:pt idx="28">
                  <c:v>26.75185205507699</c:v>
                </c:pt>
                <c:pt idx="29">
                  <c:v>27.05127713527699</c:v>
                </c:pt>
              </c:numCache>
            </c:numRef>
          </c:xVal>
          <c:yVal>
            <c:numRef>
              <c:f>'UT-GOM2-1-H005-10FB-2'!$AB$6:$AB$189</c:f>
              <c:numCache>
                <c:formatCode>0.0</c:formatCode>
                <c:ptCount val="184"/>
                <c:pt idx="0">
                  <c:v>20.3</c:v>
                </c:pt>
                <c:pt idx="1">
                  <c:v>15.1</c:v>
                </c:pt>
                <c:pt idx="2">
                  <c:v>9.9</c:v>
                </c:pt>
                <c:pt idx="3">
                  <c:v>6.5</c:v>
                </c:pt>
                <c:pt idx="4">
                  <c:v>5.4</c:v>
                </c:pt>
                <c:pt idx="5">
                  <c:v>4.5</c:v>
                </c:pt>
                <c:pt idx="6">
                  <c:v>3.7</c:v>
                </c:pt>
                <c:pt idx="7">
                  <c:v>4.0</c:v>
                </c:pt>
                <c:pt idx="8">
                  <c:v>4.1</c:v>
                </c:pt>
                <c:pt idx="9">
                  <c:v>4.3</c:v>
                </c:pt>
                <c:pt idx="10">
                  <c:v>4.2</c:v>
                </c:pt>
                <c:pt idx="11">
                  <c:v>4.3</c:v>
                </c:pt>
                <c:pt idx="12">
                  <c:v>4.2</c:v>
                </c:pt>
                <c:pt idx="13">
                  <c:v>4.0</c:v>
                </c:pt>
                <c:pt idx="14">
                  <c:v>3.9</c:v>
                </c:pt>
                <c:pt idx="15">
                  <c:v>3.4</c:v>
                </c:pt>
                <c:pt idx="16">
                  <c:v>3.3</c:v>
                </c:pt>
                <c:pt idx="17">
                  <c:v>3.1</c:v>
                </c:pt>
                <c:pt idx="18">
                  <c:v>2.3</c:v>
                </c:pt>
                <c:pt idx="19">
                  <c:v>1.8</c:v>
                </c:pt>
                <c:pt idx="20">
                  <c:v>1.6</c:v>
                </c:pt>
                <c:pt idx="21">
                  <c:v>1.3</c:v>
                </c:pt>
                <c:pt idx="22">
                  <c:v>1.0</c:v>
                </c:pt>
                <c:pt idx="23">
                  <c:v>0.7</c:v>
                </c:pt>
                <c:pt idx="24">
                  <c:v>0.6</c:v>
                </c:pt>
                <c:pt idx="25">
                  <c:v>0.4</c:v>
                </c:pt>
                <c:pt idx="26">
                  <c:v>0.2</c:v>
                </c:pt>
                <c:pt idx="27">
                  <c:v>0.1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'UT-GOM2-1-H005-10FB-2'!$W$4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'UT-GOM2-1-H005-10FB-2'!$Y$6:$Y$189</c:f>
              <c:numCache>
                <c:formatCode>0.00</c:formatCode>
                <c:ptCount val="184"/>
                <c:pt idx="0">
                  <c:v>0.0</c:v>
                </c:pt>
                <c:pt idx="1">
                  <c:v>0.991630209956034</c:v>
                </c:pt>
                <c:pt idx="2">
                  <c:v>1.552179901261513</c:v>
                </c:pt>
                <c:pt idx="3">
                  <c:v>1.462222652942017</c:v>
                </c:pt>
                <c:pt idx="4">
                  <c:v>2.054406807024105</c:v>
                </c:pt>
                <c:pt idx="5">
                  <c:v>2.375153232844025</c:v>
                </c:pt>
                <c:pt idx="6">
                  <c:v>3.63116904955662</c:v>
                </c:pt>
                <c:pt idx="7">
                  <c:v>6.042147515505833</c:v>
                </c:pt>
                <c:pt idx="8">
                  <c:v>6.127351738090329</c:v>
                </c:pt>
                <c:pt idx="9">
                  <c:v>6.7648815120336</c:v>
                </c:pt>
                <c:pt idx="10">
                  <c:v>6.503395750533813</c:v>
                </c:pt>
                <c:pt idx="11">
                  <c:v>6.79755969808805</c:v>
                </c:pt>
                <c:pt idx="12">
                  <c:v>6.815332437127759</c:v>
                </c:pt>
                <c:pt idx="13">
                  <c:v>6.662866024102114</c:v>
                </c:pt>
                <c:pt idx="14">
                  <c:v>6.796507719324348</c:v>
                </c:pt>
                <c:pt idx="15">
                  <c:v>6.867652231773193</c:v>
                </c:pt>
                <c:pt idx="16">
                  <c:v>7.353897992989918</c:v>
                </c:pt>
                <c:pt idx="17">
                  <c:v>7.137199265960537</c:v>
                </c:pt>
                <c:pt idx="18">
                  <c:v>5.949952525207931</c:v>
                </c:pt>
                <c:pt idx="19">
                  <c:v>5.11146065941004</c:v>
                </c:pt>
                <c:pt idx="20">
                  <c:v>4.669997051264262</c:v>
                </c:pt>
                <c:pt idx="21">
                  <c:v>3.869347258167713</c:v>
                </c:pt>
                <c:pt idx="22">
                  <c:v>3.215701537430694</c:v>
                </c:pt>
                <c:pt idx="23">
                  <c:v>2.459514218461311</c:v>
                </c:pt>
                <c:pt idx="24">
                  <c:v>2.298531352475133</c:v>
                </c:pt>
                <c:pt idx="25">
                  <c:v>1.705297269981755</c:v>
                </c:pt>
                <c:pt idx="26">
                  <c:v>1.155644907246836</c:v>
                </c:pt>
                <c:pt idx="27">
                  <c:v>0.899379034390011</c:v>
                </c:pt>
                <c:pt idx="28">
                  <c:v>0.454251844428784</c:v>
                </c:pt>
                <c:pt idx="29">
                  <c:v>0.459562976807948</c:v>
                </c:pt>
              </c:numCache>
            </c:numRef>
          </c:xVal>
          <c:yVal>
            <c:numRef>
              <c:f>'UT-GOM2-1-H005-10FB-2'!$AB$6:$AB$189</c:f>
              <c:numCache>
                <c:formatCode>0.0</c:formatCode>
                <c:ptCount val="184"/>
                <c:pt idx="0">
                  <c:v>20.3</c:v>
                </c:pt>
                <c:pt idx="1">
                  <c:v>15.1</c:v>
                </c:pt>
                <c:pt idx="2">
                  <c:v>9.9</c:v>
                </c:pt>
                <c:pt idx="3">
                  <c:v>6.5</c:v>
                </c:pt>
                <c:pt idx="4">
                  <c:v>5.4</c:v>
                </c:pt>
                <c:pt idx="5">
                  <c:v>4.5</c:v>
                </c:pt>
                <c:pt idx="6">
                  <c:v>3.7</c:v>
                </c:pt>
                <c:pt idx="7">
                  <c:v>4.0</c:v>
                </c:pt>
                <c:pt idx="8">
                  <c:v>4.1</c:v>
                </c:pt>
                <c:pt idx="9">
                  <c:v>4.3</c:v>
                </c:pt>
                <c:pt idx="10">
                  <c:v>4.2</c:v>
                </c:pt>
                <c:pt idx="11">
                  <c:v>4.3</c:v>
                </c:pt>
                <c:pt idx="12">
                  <c:v>4.2</c:v>
                </c:pt>
                <c:pt idx="13">
                  <c:v>4.0</c:v>
                </c:pt>
                <c:pt idx="14">
                  <c:v>3.9</c:v>
                </c:pt>
                <c:pt idx="15">
                  <c:v>3.4</c:v>
                </c:pt>
                <c:pt idx="16">
                  <c:v>3.3</c:v>
                </c:pt>
                <c:pt idx="17">
                  <c:v>3.1</c:v>
                </c:pt>
                <c:pt idx="18">
                  <c:v>2.3</c:v>
                </c:pt>
                <c:pt idx="19">
                  <c:v>1.8</c:v>
                </c:pt>
                <c:pt idx="20">
                  <c:v>1.6</c:v>
                </c:pt>
                <c:pt idx="21">
                  <c:v>1.3</c:v>
                </c:pt>
                <c:pt idx="22">
                  <c:v>1.0</c:v>
                </c:pt>
                <c:pt idx="23">
                  <c:v>0.7</c:v>
                </c:pt>
                <c:pt idx="24">
                  <c:v>0.6</c:v>
                </c:pt>
                <c:pt idx="25">
                  <c:v>0.4</c:v>
                </c:pt>
                <c:pt idx="26">
                  <c:v>0.2</c:v>
                </c:pt>
                <c:pt idx="27">
                  <c:v>0.1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5836584"/>
        <c:axId val="-2078868072"/>
      </c:scatterChart>
      <c:valAx>
        <c:axId val="-2075836584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8868072"/>
        <c:crosses val="autoZero"/>
        <c:crossBetween val="midCat"/>
        <c:minorUnit val="1.0"/>
      </c:valAx>
      <c:valAx>
        <c:axId val="-207886807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58365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UT-GOM2-1-H005-10FB-2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81"/>
  <sheetViews>
    <sheetView zoomScale="75" zoomScaleNormal="75" zoomScalePageLayoutView="75" workbookViewId="0">
      <selection activeCell="F49" sqref="F49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0" t="s">
        <v>1</v>
      </c>
      <c r="B1" s="91"/>
      <c r="C1" s="91"/>
      <c r="D1" s="91"/>
      <c r="E1" s="91"/>
      <c r="F1" s="92">
        <v>41420</v>
      </c>
      <c r="G1" s="93"/>
      <c r="H1" s="94"/>
      <c r="I1" s="95" t="s">
        <v>11</v>
      </c>
      <c r="J1" s="91"/>
      <c r="K1" s="91"/>
      <c r="L1" s="93" t="s">
        <v>66</v>
      </c>
      <c r="M1" s="93"/>
      <c r="N1" s="94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108" t="s">
        <v>10</v>
      </c>
      <c r="B2" s="109"/>
      <c r="C2" s="109"/>
      <c r="D2" s="109"/>
      <c r="E2" s="109"/>
      <c r="F2" s="110">
        <v>1016</v>
      </c>
      <c r="G2" s="110"/>
      <c r="H2" s="111"/>
      <c r="I2" s="112" t="s">
        <v>4</v>
      </c>
      <c r="J2" s="109"/>
      <c r="K2" s="109"/>
      <c r="L2" s="110" t="s">
        <v>48</v>
      </c>
      <c r="M2" s="110"/>
      <c r="N2" s="67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1">
        <f>IF(VALUE(LEFT(RIGHT(L1,7),3))=35,26,90)</f>
        <v>90</v>
      </c>
      <c r="Y2" s="4"/>
      <c r="Z2" s="4" t="s">
        <v>13</v>
      </c>
    </row>
    <row r="3" spans="1:28" ht="25" customHeight="1" thickBot="1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  <c r="Q3" s="81" t="s">
        <v>35</v>
      </c>
      <c r="R3" s="82"/>
      <c r="S3" s="83"/>
    </row>
    <row r="4" spans="1:28" ht="25" customHeight="1">
      <c r="A4" s="104" t="s">
        <v>17</v>
      </c>
      <c r="B4" s="96" t="s">
        <v>16</v>
      </c>
      <c r="C4" s="106" t="s">
        <v>28</v>
      </c>
      <c r="D4" s="98" t="s">
        <v>31</v>
      </c>
      <c r="E4" s="100"/>
      <c r="F4" s="98" t="s">
        <v>3</v>
      </c>
      <c r="G4" s="99"/>
      <c r="H4" s="56"/>
      <c r="I4" s="73" t="s">
        <v>2</v>
      </c>
      <c r="J4" s="73"/>
      <c r="K4" s="73"/>
      <c r="L4" s="74"/>
      <c r="M4" s="86" t="s">
        <v>26</v>
      </c>
      <c r="N4" s="88" t="s">
        <v>29</v>
      </c>
      <c r="O4" s="80" t="s">
        <v>34</v>
      </c>
      <c r="P4" s="79"/>
      <c r="Q4" s="47" t="s">
        <v>37</v>
      </c>
      <c r="R4" s="84" t="s">
        <v>36</v>
      </c>
      <c r="S4" s="85"/>
      <c r="T4" s="51" t="s">
        <v>38</v>
      </c>
      <c r="U4" s="78" t="s">
        <v>32</v>
      </c>
      <c r="V4" s="79"/>
      <c r="W4" s="75" t="s">
        <v>45</v>
      </c>
      <c r="X4" s="76"/>
      <c r="Y4" s="77"/>
      <c r="Z4" s="51" t="s">
        <v>33</v>
      </c>
      <c r="AB4" s="51" t="s">
        <v>49</v>
      </c>
    </row>
    <row r="5" spans="1:28" s="4" customFormat="1" ht="77.25" customHeight="1" thickBot="1">
      <c r="A5" s="105"/>
      <c r="B5" s="97"/>
      <c r="C5" s="107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87"/>
      <c r="N5" s="89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50</v>
      </c>
    </row>
    <row r="6" spans="1:28" s="34" customFormat="1" ht="20" customHeight="1">
      <c r="A6" s="23">
        <v>1</v>
      </c>
      <c r="B6" s="24">
        <v>41420</v>
      </c>
      <c r="C6" s="25">
        <v>0.60902777777777783</v>
      </c>
      <c r="D6" s="26">
        <v>203</v>
      </c>
      <c r="E6" s="27">
        <v>203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 t="s">
        <v>51</v>
      </c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4140</v>
      </c>
      <c r="S6" s="63">
        <f>IF(I6=J6,0,R6*(J6-I6))*273/(273+L6)</f>
        <v>0</v>
      </c>
      <c r="T6" s="114">
        <f t="shared" ref="T6:T12" si="2">T7</f>
        <v>96.411768990603591</v>
      </c>
      <c r="U6" s="61">
        <f>(S6+Q6)*T6/100</f>
        <v>0</v>
      </c>
      <c r="V6" s="64">
        <f>U6/1000</f>
        <v>0</v>
      </c>
      <c r="W6" s="64">
        <f>(G6+K6)/1000</f>
        <v>0</v>
      </c>
      <c r="X6" s="72">
        <v>0</v>
      </c>
      <c r="Y6" s="64">
        <f>(W6-X6)*(E6+1)*1*273/(273+L6)*T6/100</f>
        <v>0</v>
      </c>
      <c r="Z6" s="64">
        <f>V6+Y6</f>
        <v>0</v>
      </c>
      <c r="AB6" s="70">
        <f>E6/10</f>
        <v>20.3</v>
      </c>
    </row>
    <row r="7" spans="1:28" s="40" customFormat="1" ht="20" customHeight="1">
      <c r="A7" s="35">
        <f>A6+1</f>
        <v>2</v>
      </c>
      <c r="B7" s="24">
        <v>41420</v>
      </c>
      <c r="C7" s="25">
        <v>0.60902777777777783</v>
      </c>
      <c r="D7" s="26">
        <v>203</v>
      </c>
      <c r="E7" s="27">
        <v>151</v>
      </c>
      <c r="F7" s="36">
        <v>0</v>
      </c>
      <c r="G7" s="29">
        <v>15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4140</v>
      </c>
      <c r="S7" s="63">
        <f t="shared" ref="S7:S20" si="4">IF(I7=J7,0,R7*(J7-I7))*273/(273+L7)</f>
        <v>0</v>
      </c>
      <c r="T7" s="114">
        <f t="shared" si="2"/>
        <v>96.411768990603591</v>
      </c>
      <c r="U7" s="61">
        <f>(S7+Q7)*T7/100</f>
        <v>0</v>
      </c>
      <c r="V7" s="64">
        <f>V6+U7/1000</f>
        <v>0</v>
      </c>
      <c r="W7" s="64">
        <f>W6+(G7+K7)/1000</f>
        <v>1.4999999999999999E-2</v>
      </c>
      <c r="X7" s="72">
        <f>X$2/1000*EXP(-0.016*E7)</f>
        <v>8.0350214626449066E-3</v>
      </c>
      <c r="Y7" s="64">
        <f>(W7-(X7-X6))*(E7+1)*1*273/(273+L7)*T7/100</f>
        <v>0.99163020995603446</v>
      </c>
      <c r="Z7" s="64">
        <f>V7+Y7</f>
        <v>0.99163020995603446</v>
      </c>
      <c r="AB7" s="70">
        <f t="shared" ref="AB7:AB27" si="5">E7/10</f>
        <v>15.1</v>
      </c>
    </row>
    <row r="8" spans="1:28" s="40" customFormat="1" ht="20" customHeight="1">
      <c r="A8" s="35">
        <f t="shared" ref="A8:A35" si="6">A7+1</f>
        <v>3</v>
      </c>
      <c r="B8" s="24">
        <v>41420</v>
      </c>
      <c r="C8" s="25">
        <v>0.62708333333333333</v>
      </c>
      <c r="D8" s="26">
        <v>152</v>
      </c>
      <c r="E8" s="27">
        <v>99</v>
      </c>
      <c r="F8" s="36">
        <v>0</v>
      </c>
      <c r="G8" s="29">
        <v>12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26.000000000931323</v>
      </c>
      <c r="P8" s="64">
        <f t="shared" ref="P8:P20" si="7">P7+O8/60</f>
        <v>0.43333333334885538</v>
      </c>
      <c r="Q8" s="61">
        <f t="shared" si="0"/>
        <v>0</v>
      </c>
      <c r="R8" s="62">
        <f t="shared" si="1"/>
        <v>4140</v>
      </c>
      <c r="S8" s="63">
        <f t="shared" si="4"/>
        <v>0</v>
      </c>
      <c r="T8" s="114">
        <f t="shared" si="2"/>
        <v>96.411768990603591</v>
      </c>
      <c r="U8" s="61">
        <f t="shared" ref="U8:U20" si="8">(S8+Q8)*T8/100</f>
        <v>0</v>
      </c>
      <c r="V8" s="64">
        <f>V7+U8/1000</f>
        <v>0</v>
      </c>
      <c r="W8" s="64">
        <f t="shared" ref="W8:W20" si="9">W7+(G8+K8)/1000</f>
        <v>2.7E-2</v>
      </c>
      <c r="X8" s="72">
        <f t="shared" ref="X8:X27" si="10">X$2/1000*EXP(-0.016*E8)</f>
        <v>1.8463755907617944E-2</v>
      </c>
      <c r="Y8" s="64">
        <f t="shared" ref="Y8:Y27" si="11">(W8-(X8-X7))*(E8+1)*1*273/(273+L8)*T8/100</f>
        <v>1.5521799012615134</v>
      </c>
      <c r="Z8" s="64">
        <f t="shared" ref="Z8:Z20" si="12">V8+Y8</f>
        <v>1.5521799012615134</v>
      </c>
      <c r="AB8" s="70">
        <f t="shared" si="5"/>
        <v>9.9</v>
      </c>
    </row>
    <row r="9" spans="1:28" s="40" customFormat="1" ht="20" customHeight="1">
      <c r="A9" s="35">
        <f t="shared" si="6"/>
        <v>4</v>
      </c>
      <c r="B9" s="24">
        <v>41420</v>
      </c>
      <c r="C9" s="25">
        <v>0.62847222222222221</v>
      </c>
      <c r="D9" s="26">
        <v>99</v>
      </c>
      <c r="E9" s="27">
        <v>65</v>
      </c>
      <c r="F9" s="36">
        <v>0</v>
      </c>
      <c r="G9" s="29">
        <v>10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1.9999999960418791</v>
      </c>
      <c r="P9" s="64">
        <f t="shared" si="7"/>
        <v>0.46666666661622003</v>
      </c>
      <c r="Q9" s="61">
        <f t="shared" si="0"/>
        <v>0</v>
      </c>
      <c r="R9" s="62">
        <f t="shared" si="1"/>
        <v>4140</v>
      </c>
      <c r="S9" s="63">
        <f t="shared" si="4"/>
        <v>0</v>
      </c>
      <c r="T9" s="114">
        <f t="shared" si="2"/>
        <v>96.411768990603591</v>
      </c>
      <c r="U9" s="61">
        <f t="shared" si="8"/>
        <v>0</v>
      </c>
      <c r="V9" s="64">
        <f>V8+U9/1000</f>
        <v>0</v>
      </c>
      <c r="W9" s="64">
        <f t="shared" si="9"/>
        <v>3.6999999999999998E-2</v>
      </c>
      <c r="X9" s="72">
        <f t="shared" si="10"/>
        <v>3.1810921376290213E-2</v>
      </c>
      <c r="Y9" s="64">
        <f t="shared" si="11"/>
        <v>1.4622226529420166</v>
      </c>
      <c r="Z9" s="64">
        <f t="shared" si="12"/>
        <v>1.4622226529420166</v>
      </c>
      <c r="AB9" s="70">
        <f t="shared" si="5"/>
        <v>6.5</v>
      </c>
    </row>
    <row r="10" spans="1:28" s="40" customFormat="1" ht="20" customHeight="1">
      <c r="A10" s="35">
        <f t="shared" si="6"/>
        <v>5</v>
      </c>
      <c r="B10" s="24">
        <v>41420</v>
      </c>
      <c r="C10" s="25">
        <v>0.62986111111111109</v>
      </c>
      <c r="D10" s="26">
        <v>65</v>
      </c>
      <c r="E10" s="27">
        <v>54</v>
      </c>
      <c r="F10" s="36">
        <v>0</v>
      </c>
      <c r="G10" s="29">
        <v>9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2.000000006519258</v>
      </c>
      <c r="P10" s="64">
        <f t="shared" si="7"/>
        <v>0.50000000005820766</v>
      </c>
      <c r="Q10" s="61">
        <f t="shared" si="0"/>
        <v>0</v>
      </c>
      <c r="R10" s="62">
        <f t="shared" si="1"/>
        <v>4140</v>
      </c>
      <c r="S10" s="63">
        <f t="shared" si="4"/>
        <v>0</v>
      </c>
      <c r="T10" s="114">
        <f t="shared" si="2"/>
        <v>96.411768990603591</v>
      </c>
      <c r="U10" s="61">
        <f t="shared" si="8"/>
        <v>0</v>
      </c>
      <c r="V10" s="64">
        <f>V9+U10/1000</f>
        <v>0</v>
      </c>
      <c r="W10" s="64">
        <f t="shared" si="9"/>
        <v>4.5999999999999999E-2</v>
      </c>
      <c r="X10" s="72">
        <f t="shared" si="10"/>
        <v>3.7932553329832586E-2</v>
      </c>
      <c r="Y10" s="64">
        <f t="shared" si="11"/>
        <v>2.0544068070241055</v>
      </c>
      <c r="Z10" s="64">
        <f t="shared" si="12"/>
        <v>2.0544068070241055</v>
      </c>
      <c r="AB10" s="70">
        <f t="shared" si="5"/>
        <v>5.4</v>
      </c>
    </row>
    <row r="11" spans="1:28" s="40" customFormat="1" ht="20" customHeight="1">
      <c r="A11" s="35">
        <f t="shared" si="6"/>
        <v>6</v>
      </c>
      <c r="B11" s="24">
        <v>41420</v>
      </c>
      <c r="C11" s="25">
        <v>0.63472222222222219</v>
      </c>
      <c r="D11" s="26">
        <v>57</v>
      </c>
      <c r="E11" s="27">
        <v>45</v>
      </c>
      <c r="F11" s="36">
        <v>0</v>
      </c>
      <c r="G11" s="29">
        <v>15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7.0000000018626451</v>
      </c>
      <c r="P11" s="64">
        <f t="shared" si="7"/>
        <v>0.61666666675591841</v>
      </c>
      <c r="Q11" s="61">
        <f t="shared" si="0"/>
        <v>0</v>
      </c>
      <c r="R11" s="62">
        <f t="shared" si="1"/>
        <v>4140</v>
      </c>
      <c r="S11" s="63">
        <f t="shared" si="4"/>
        <v>0</v>
      </c>
      <c r="T11" s="114">
        <f t="shared" si="2"/>
        <v>96.411768990603591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6.0999999999999999E-2</v>
      </c>
      <c r="X11" s="72">
        <f t="shared" si="10"/>
        <v>4.3807703036397451E-2</v>
      </c>
      <c r="Y11" s="64">
        <f t="shared" si="11"/>
        <v>2.375153232844025</v>
      </c>
      <c r="Z11" s="64">
        <f t="shared" si="12"/>
        <v>2.375153232844025</v>
      </c>
      <c r="AB11" s="70">
        <f t="shared" si="5"/>
        <v>4.5</v>
      </c>
    </row>
    <row r="12" spans="1:28" s="40" customFormat="1" ht="20" customHeight="1">
      <c r="A12" s="35">
        <f t="shared" si="6"/>
        <v>7</v>
      </c>
      <c r="B12" s="24">
        <v>41420</v>
      </c>
      <c r="C12" s="25">
        <v>0.67083333333333339</v>
      </c>
      <c r="D12" s="26">
        <v>57</v>
      </c>
      <c r="E12" s="27">
        <v>37</v>
      </c>
      <c r="F12" s="36">
        <v>0</v>
      </c>
      <c r="G12" s="29">
        <v>47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51.999999991385266</v>
      </c>
      <c r="P12" s="64">
        <f t="shared" si="7"/>
        <v>1.4833333332790062</v>
      </c>
      <c r="Q12" s="61">
        <f t="shared" si="0"/>
        <v>0</v>
      </c>
      <c r="R12" s="62">
        <f t="shared" si="1"/>
        <v>4140</v>
      </c>
      <c r="S12" s="63">
        <f t="shared" si="4"/>
        <v>0</v>
      </c>
      <c r="T12" s="114">
        <f t="shared" si="2"/>
        <v>96.411768990603591</v>
      </c>
      <c r="U12" s="61">
        <f t="shared" si="8"/>
        <v>0</v>
      </c>
      <c r="V12" s="64">
        <f t="shared" si="13"/>
        <v>0</v>
      </c>
      <c r="W12" s="64">
        <f t="shared" si="9"/>
        <v>0.108</v>
      </c>
      <c r="X12" s="72">
        <f t="shared" si="10"/>
        <v>4.9789776427278644E-2</v>
      </c>
      <c r="Y12" s="64">
        <f t="shared" si="11"/>
        <v>3.63116904955662</v>
      </c>
      <c r="Z12" s="64">
        <f t="shared" si="12"/>
        <v>3.63116904955662</v>
      </c>
      <c r="AB12" s="70">
        <f t="shared" si="5"/>
        <v>3.7</v>
      </c>
    </row>
    <row r="13" spans="1:28" s="40" customFormat="1" ht="20" customHeight="1">
      <c r="A13" s="35">
        <f t="shared" si="6"/>
        <v>8</v>
      </c>
      <c r="B13" s="24">
        <v>41420</v>
      </c>
      <c r="C13" s="25">
        <v>0.69861111111111107</v>
      </c>
      <c r="D13" s="26">
        <v>53</v>
      </c>
      <c r="E13" s="27">
        <v>40</v>
      </c>
      <c r="F13" s="36">
        <v>0</v>
      </c>
      <c r="G13" s="29">
        <v>47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40.000000004656613</v>
      </c>
      <c r="P13" s="64">
        <f t="shared" si="7"/>
        <v>2.1500000000232831</v>
      </c>
      <c r="Q13" s="61">
        <f t="shared" si="0"/>
        <v>0</v>
      </c>
      <c r="R13" s="62">
        <f t="shared" si="1"/>
        <v>4140</v>
      </c>
      <c r="S13" s="63">
        <f t="shared" si="4"/>
        <v>0</v>
      </c>
      <c r="T13" s="114">
        <f>T14</f>
        <v>96.411768990603591</v>
      </c>
      <c r="U13" s="61">
        <f t="shared" si="8"/>
        <v>0</v>
      </c>
      <c r="V13" s="64">
        <f t="shared" si="13"/>
        <v>0</v>
      </c>
      <c r="W13" s="64">
        <f t="shared" si="9"/>
        <v>0.155</v>
      </c>
      <c r="X13" s="72">
        <f t="shared" si="10"/>
        <v>4.745631816387437E-2</v>
      </c>
      <c r="Y13" s="64">
        <f t="shared" si="11"/>
        <v>6.0421475155058326</v>
      </c>
      <c r="Z13" s="64">
        <f t="shared" si="12"/>
        <v>6.0421475155058326</v>
      </c>
      <c r="AB13" s="70">
        <f t="shared" si="5"/>
        <v>4</v>
      </c>
    </row>
    <row r="14" spans="1:28" s="40" customFormat="1" ht="20" customHeight="1">
      <c r="A14" s="35">
        <f t="shared" si="6"/>
        <v>9</v>
      </c>
      <c r="B14" s="24">
        <v>41420</v>
      </c>
      <c r="C14" s="25">
        <v>0.72916666666666663</v>
      </c>
      <c r="D14" s="26">
        <v>52</v>
      </c>
      <c r="E14" s="27">
        <v>41</v>
      </c>
      <c r="F14" s="36">
        <v>1700</v>
      </c>
      <c r="G14" s="29">
        <v>0</v>
      </c>
      <c r="H14" s="37"/>
      <c r="I14" s="31">
        <v>1</v>
      </c>
      <c r="J14" s="31">
        <v>1</v>
      </c>
      <c r="K14" s="32">
        <v>0</v>
      </c>
      <c r="L14" s="27">
        <v>8</v>
      </c>
      <c r="M14" s="38" t="s">
        <v>52</v>
      </c>
      <c r="N14" s="39" t="s">
        <v>53</v>
      </c>
      <c r="O14" s="61">
        <f t="shared" si="3"/>
        <v>43.999999996740371</v>
      </c>
      <c r="P14" s="64">
        <f t="shared" si="7"/>
        <v>2.8833333333022892</v>
      </c>
      <c r="Q14" s="61">
        <f t="shared" si="0"/>
        <v>1678.0270462633453</v>
      </c>
      <c r="R14" s="62">
        <f t="shared" si="1"/>
        <v>4140</v>
      </c>
      <c r="S14" s="63">
        <f t="shared" si="4"/>
        <v>0</v>
      </c>
      <c r="T14" s="114">
        <v>96.411768990603591</v>
      </c>
      <c r="U14" s="61">
        <f t="shared" si="8"/>
        <v>1617.8155594432653</v>
      </c>
      <c r="V14" s="64">
        <f t="shared" si="13"/>
        <v>1.6178155594432653</v>
      </c>
      <c r="W14" s="64">
        <f t="shared" si="9"/>
        <v>0.155</v>
      </c>
      <c r="X14" s="72">
        <f t="shared" si="10"/>
        <v>4.6703059214304635E-2</v>
      </c>
      <c r="Y14" s="64">
        <f t="shared" si="11"/>
        <v>6.1273517380903293</v>
      </c>
      <c r="Z14" s="64">
        <f t="shared" si="12"/>
        <v>7.7451672975335946</v>
      </c>
      <c r="AB14" s="70">
        <f t="shared" si="5"/>
        <v>4.0999999999999996</v>
      </c>
    </row>
    <row r="15" spans="1:28" s="40" customFormat="1" ht="20" customHeight="1">
      <c r="A15" s="35">
        <f t="shared" si="6"/>
        <v>10</v>
      </c>
      <c r="B15" s="24">
        <v>41420</v>
      </c>
      <c r="C15" s="25">
        <v>0.76944444444444438</v>
      </c>
      <c r="D15" s="26">
        <v>51</v>
      </c>
      <c r="E15" s="27">
        <v>43</v>
      </c>
      <c r="F15" s="36">
        <v>1780</v>
      </c>
      <c r="G15" s="29">
        <v>5</v>
      </c>
      <c r="H15" s="37"/>
      <c r="I15" s="31">
        <v>1</v>
      </c>
      <c r="J15" s="31">
        <v>1</v>
      </c>
      <c r="K15" s="32">
        <v>0</v>
      </c>
      <c r="L15" s="27">
        <v>8</v>
      </c>
      <c r="M15" s="38" t="s">
        <v>54</v>
      </c>
      <c r="N15" s="39"/>
      <c r="O15" s="61">
        <f t="shared" si="3"/>
        <v>58.000000000465661</v>
      </c>
      <c r="P15" s="64">
        <f t="shared" si="7"/>
        <v>3.8499999999767169</v>
      </c>
      <c r="Q15" s="61">
        <f t="shared" si="0"/>
        <v>1756.9930249110319</v>
      </c>
      <c r="R15" s="62">
        <f t="shared" si="1"/>
        <v>4140</v>
      </c>
      <c r="S15" s="63">
        <f t="shared" si="4"/>
        <v>0</v>
      </c>
      <c r="T15" s="114">
        <v>98.006998478115051</v>
      </c>
      <c r="U15" s="61">
        <f t="shared" si="8"/>
        <v>1721.9761271851426</v>
      </c>
      <c r="V15" s="64">
        <f t="shared" si="13"/>
        <v>3.3397916866284079</v>
      </c>
      <c r="W15" s="64">
        <f t="shared" si="9"/>
        <v>0.16</v>
      </c>
      <c r="X15" s="72">
        <f t="shared" si="10"/>
        <v>4.5232220252288548E-2</v>
      </c>
      <c r="Y15" s="64">
        <f t="shared" si="11"/>
        <v>6.7648815120336003</v>
      </c>
      <c r="Z15" s="64">
        <f t="shared" si="12"/>
        <v>10.104673198662008</v>
      </c>
      <c r="AB15" s="70">
        <f t="shared" si="5"/>
        <v>4.3</v>
      </c>
    </row>
    <row r="16" spans="1:28" s="40" customFormat="1" ht="20" customHeight="1">
      <c r="A16" s="35">
        <f t="shared" si="6"/>
        <v>11</v>
      </c>
      <c r="B16" s="24">
        <v>41420</v>
      </c>
      <c r="C16" s="25">
        <v>0.80694444444444446</v>
      </c>
      <c r="D16" s="26">
        <v>51</v>
      </c>
      <c r="E16" s="27">
        <v>42</v>
      </c>
      <c r="F16" s="36">
        <v>2140</v>
      </c>
      <c r="G16" s="29">
        <v>0</v>
      </c>
      <c r="H16" s="37"/>
      <c r="I16" s="31">
        <v>1</v>
      </c>
      <c r="J16" s="31">
        <v>1</v>
      </c>
      <c r="K16" s="32">
        <v>0</v>
      </c>
      <c r="L16" s="27">
        <v>8</v>
      </c>
      <c r="M16" s="38" t="s">
        <v>55</v>
      </c>
      <c r="N16" s="39"/>
      <c r="O16" s="61">
        <f t="shared" si="3"/>
        <v>53.999999997904524</v>
      </c>
      <c r="P16" s="64">
        <f t="shared" si="7"/>
        <v>4.7499999999417923</v>
      </c>
      <c r="Q16" s="61">
        <f t="shared" si="0"/>
        <v>2112.3399288256223</v>
      </c>
      <c r="R16" s="62">
        <f t="shared" si="1"/>
        <v>4140</v>
      </c>
      <c r="S16" s="63">
        <f t="shared" si="4"/>
        <v>0</v>
      </c>
      <c r="T16" s="114">
        <v>97.741760142313581</v>
      </c>
      <c r="U16" s="61">
        <f t="shared" si="8"/>
        <v>2064.6382266230571</v>
      </c>
      <c r="V16" s="64">
        <f t="shared" si="13"/>
        <v>5.404429913251465</v>
      </c>
      <c r="W16" s="64">
        <f t="shared" si="9"/>
        <v>0.16</v>
      </c>
      <c r="X16" s="72">
        <f t="shared" si="10"/>
        <v>4.5961756502956905E-2</v>
      </c>
      <c r="Y16" s="64">
        <f t="shared" si="11"/>
        <v>6.5033957505338131</v>
      </c>
      <c r="Z16" s="64">
        <f t="shared" si="12"/>
        <v>11.907825663785278</v>
      </c>
      <c r="AB16" s="70">
        <f t="shared" si="5"/>
        <v>4.2</v>
      </c>
    </row>
    <row r="17" spans="1:28" s="40" customFormat="1" ht="20" customHeight="1">
      <c r="A17" s="35">
        <f t="shared" si="6"/>
        <v>12</v>
      </c>
      <c r="B17" s="24">
        <v>41420</v>
      </c>
      <c r="C17" s="25">
        <v>0.8340277777777777</v>
      </c>
      <c r="D17" s="26">
        <v>50</v>
      </c>
      <c r="E17" s="27">
        <v>43</v>
      </c>
      <c r="F17" s="36">
        <v>1640</v>
      </c>
      <c r="G17" s="29">
        <v>2</v>
      </c>
      <c r="H17" s="37"/>
      <c r="I17" s="31">
        <v>1</v>
      </c>
      <c r="J17" s="31">
        <v>1</v>
      </c>
      <c r="K17" s="32">
        <v>0</v>
      </c>
      <c r="L17" s="27">
        <v>8</v>
      </c>
      <c r="M17" s="38" t="s">
        <v>56</v>
      </c>
      <c r="N17" s="39"/>
      <c r="O17" s="61">
        <f t="shared" si="3"/>
        <v>39.000000001396984</v>
      </c>
      <c r="P17" s="64">
        <f t="shared" si="7"/>
        <v>5.3999999999650754</v>
      </c>
      <c r="Q17" s="61">
        <f t="shared" si="0"/>
        <v>1618.8025622775801</v>
      </c>
      <c r="R17" s="62">
        <f t="shared" si="1"/>
        <v>4140</v>
      </c>
      <c r="S17" s="63">
        <f t="shared" si="4"/>
        <v>0</v>
      </c>
      <c r="T17" s="114">
        <v>97.718690834048019</v>
      </c>
      <c r="U17" s="61">
        <f t="shared" si="8"/>
        <v>1581.872671045676</v>
      </c>
      <c r="V17" s="64">
        <f t="shared" si="13"/>
        <v>6.9863025842971407</v>
      </c>
      <c r="W17" s="64">
        <f t="shared" si="9"/>
        <v>0.16200000000000001</v>
      </c>
      <c r="X17" s="72">
        <f t="shared" si="10"/>
        <v>4.5232220252288548E-2</v>
      </c>
      <c r="Y17" s="64">
        <f t="shared" si="11"/>
        <v>6.7975596980880502</v>
      </c>
      <c r="Z17" s="64">
        <f t="shared" si="12"/>
        <v>13.78386228238519</v>
      </c>
      <c r="AB17" s="70">
        <f t="shared" si="5"/>
        <v>4.3</v>
      </c>
    </row>
    <row r="18" spans="1:28" s="40" customFormat="1" ht="20" customHeight="1">
      <c r="A18" s="35">
        <f t="shared" si="6"/>
        <v>13</v>
      </c>
      <c r="B18" s="24">
        <v>41420</v>
      </c>
      <c r="C18" s="25">
        <v>0.86249999999999993</v>
      </c>
      <c r="D18" s="26">
        <v>49</v>
      </c>
      <c r="E18" s="27">
        <v>42</v>
      </c>
      <c r="F18" s="36">
        <v>1800</v>
      </c>
      <c r="G18" s="29">
        <v>6</v>
      </c>
      <c r="H18" s="37"/>
      <c r="I18" s="31">
        <v>1</v>
      </c>
      <c r="J18" s="31">
        <v>1</v>
      </c>
      <c r="K18" s="32">
        <v>0</v>
      </c>
      <c r="L18" s="27">
        <v>8</v>
      </c>
      <c r="M18" s="38" t="s">
        <v>57</v>
      </c>
      <c r="N18" s="39"/>
      <c r="O18" s="61">
        <f t="shared" si="3"/>
        <v>41.000000007916242</v>
      </c>
      <c r="P18" s="64">
        <f t="shared" si="7"/>
        <v>6.0833333334303461</v>
      </c>
      <c r="Q18" s="61">
        <f t="shared" si="0"/>
        <v>1776.7345195729536</v>
      </c>
      <c r="R18" s="62">
        <f t="shared" si="1"/>
        <v>4140</v>
      </c>
      <c r="S18" s="63">
        <f t="shared" si="4"/>
        <v>0</v>
      </c>
      <c r="T18" s="114">
        <v>97.531072721794217</v>
      </c>
      <c r="U18" s="61">
        <f t="shared" si="8"/>
        <v>1732.8682363579182</v>
      </c>
      <c r="V18" s="64">
        <f t="shared" si="13"/>
        <v>8.7191708206550587</v>
      </c>
      <c r="W18" s="64">
        <f t="shared" si="9"/>
        <v>0.16800000000000001</v>
      </c>
      <c r="X18" s="72">
        <f t="shared" si="10"/>
        <v>4.5961756502956905E-2</v>
      </c>
      <c r="Y18" s="64">
        <f t="shared" si="11"/>
        <v>6.8153324371277595</v>
      </c>
      <c r="Z18" s="64">
        <f t="shared" si="12"/>
        <v>15.534503257782818</v>
      </c>
      <c r="AB18" s="70">
        <f t="shared" si="5"/>
        <v>4.2</v>
      </c>
    </row>
    <row r="19" spans="1:28" s="40" customFormat="1" ht="20" customHeight="1">
      <c r="A19" s="35">
        <f t="shared" si="6"/>
        <v>14</v>
      </c>
      <c r="B19" s="24">
        <v>41420</v>
      </c>
      <c r="C19" s="25">
        <v>0.89027777777777783</v>
      </c>
      <c r="D19" s="26">
        <v>49</v>
      </c>
      <c r="E19" s="27">
        <v>40</v>
      </c>
      <c r="F19" s="36">
        <v>1840</v>
      </c>
      <c r="G19" s="29">
        <v>5</v>
      </c>
      <c r="H19" s="37"/>
      <c r="I19" s="31">
        <v>1</v>
      </c>
      <c r="J19" s="31">
        <v>1</v>
      </c>
      <c r="K19" s="32">
        <v>0</v>
      </c>
      <c r="L19" s="27">
        <v>8</v>
      </c>
      <c r="M19" s="38"/>
      <c r="N19" s="39"/>
      <c r="O19" s="61">
        <f t="shared" si="3"/>
        <v>39.999999994179234</v>
      </c>
      <c r="P19" s="64">
        <f t="shared" si="7"/>
        <v>6.75</v>
      </c>
      <c r="Q19" s="61">
        <f t="shared" si="0"/>
        <v>1816.2175088967972</v>
      </c>
      <c r="R19" s="62">
        <f t="shared" si="1"/>
        <v>4140</v>
      </c>
      <c r="S19" s="63">
        <f t="shared" si="4"/>
        <v>0</v>
      </c>
      <c r="T19" s="114">
        <f t="shared" ref="T19:T34" si="14">IF(M19="", T18, "-")</f>
        <v>97.531072721794217</v>
      </c>
      <c r="U19" s="61">
        <f t="shared" si="8"/>
        <v>1771.3764193880945</v>
      </c>
      <c r="V19" s="64">
        <f t="shared" si="13"/>
        <v>10.490547240043153</v>
      </c>
      <c r="W19" s="64">
        <f t="shared" si="9"/>
        <v>0.17300000000000001</v>
      </c>
      <c r="X19" s="72">
        <f t="shared" si="10"/>
        <v>4.745631816387437E-2</v>
      </c>
      <c r="Y19" s="64">
        <f t="shared" si="11"/>
        <v>6.6628660241021143</v>
      </c>
      <c r="Z19" s="64">
        <f t="shared" si="12"/>
        <v>17.153413264145268</v>
      </c>
      <c r="AB19" s="70">
        <f t="shared" si="5"/>
        <v>4</v>
      </c>
    </row>
    <row r="20" spans="1:28" s="40" customFormat="1" ht="20" customHeight="1">
      <c r="A20" s="35">
        <f t="shared" si="6"/>
        <v>15</v>
      </c>
      <c r="B20" s="24">
        <v>41420</v>
      </c>
      <c r="C20" s="25">
        <v>0.91875000000000007</v>
      </c>
      <c r="D20" s="26">
        <v>48</v>
      </c>
      <c r="E20" s="27">
        <v>39</v>
      </c>
      <c r="F20" s="36">
        <v>1830</v>
      </c>
      <c r="G20" s="29">
        <v>7</v>
      </c>
      <c r="H20" s="37"/>
      <c r="I20" s="31">
        <v>1</v>
      </c>
      <c r="J20" s="31">
        <v>1</v>
      </c>
      <c r="K20" s="32">
        <v>0</v>
      </c>
      <c r="L20" s="27">
        <v>8</v>
      </c>
      <c r="M20" s="38" t="s">
        <v>58</v>
      </c>
      <c r="N20" s="39"/>
      <c r="O20" s="61">
        <f t="shared" si="3"/>
        <v>40.999999997438863</v>
      </c>
      <c r="P20" s="64">
        <f t="shared" si="7"/>
        <v>7.4333333332906477</v>
      </c>
      <c r="Q20" s="61">
        <f t="shared" si="0"/>
        <v>1806.3467615658362</v>
      </c>
      <c r="R20" s="62">
        <f t="shared" si="1"/>
        <v>4140</v>
      </c>
      <c r="S20" s="63">
        <f t="shared" si="4"/>
        <v>0</v>
      </c>
      <c r="T20" s="114">
        <v>97.577045586699128</v>
      </c>
      <c r="U20" s="61">
        <f t="shared" si="8"/>
        <v>1762.5798029869593</v>
      </c>
      <c r="V20" s="64">
        <f t="shared" si="13"/>
        <v>12.253127043030112</v>
      </c>
      <c r="W20" s="64">
        <f t="shared" si="9"/>
        <v>0.18000000000000002</v>
      </c>
      <c r="X20" s="72">
        <f t="shared" si="10"/>
        <v>4.8221726190071042E-2</v>
      </c>
      <c r="Y20" s="64">
        <f t="shared" si="11"/>
        <v>6.7965077193243486</v>
      </c>
      <c r="Z20" s="64">
        <f t="shared" si="12"/>
        <v>19.049634762354462</v>
      </c>
      <c r="AB20" s="70">
        <f t="shared" si="5"/>
        <v>3.9</v>
      </c>
    </row>
    <row r="21" spans="1:28" s="40" customFormat="1" ht="20" customHeight="1">
      <c r="A21" s="35">
        <f t="shared" si="6"/>
        <v>16</v>
      </c>
      <c r="B21" s="24">
        <v>41420</v>
      </c>
      <c r="C21" s="25">
        <v>0.94444444444444453</v>
      </c>
      <c r="D21" s="26">
        <v>46</v>
      </c>
      <c r="E21" s="27">
        <v>34</v>
      </c>
      <c r="F21" s="36">
        <v>1700</v>
      </c>
      <c r="G21" s="29">
        <v>31</v>
      </c>
      <c r="H21" s="37"/>
      <c r="I21" s="31">
        <v>1</v>
      </c>
      <c r="J21" s="31">
        <v>1</v>
      </c>
      <c r="K21" s="32">
        <v>0</v>
      </c>
      <c r="L21" s="27">
        <v>8</v>
      </c>
      <c r="M21" s="38"/>
      <c r="N21" s="39"/>
      <c r="O21" s="61">
        <f t="shared" ref="O21:O27" si="15">((B21 +C21) - (B20 + C20)) * 24 * 60</f>
        <v>37.000000005355105</v>
      </c>
      <c r="P21" s="64">
        <f t="shared" ref="P21:P27" si="16">P20+O21/60</f>
        <v>8.0500000000465661</v>
      </c>
      <c r="Q21" s="61">
        <f t="shared" ref="Q21:Q27" si="17">F21*$F$2/1000*273/(273+L21)</f>
        <v>1678.0270462633453</v>
      </c>
      <c r="R21" s="62">
        <f t="shared" ref="R21:R27" si="18">$N$2-K21</f>
        <v>4140</v>
      </c>
      <c r="S21" s="63">
        <f t="shared" ref="S21:S27" si="19">IF(I21=J21,0,R21*(J21-I21))*273/(273+L21)</f>
        <v>0</v>
      </c>
      <c r="T21" s="114">
        <f t="shared" si="14"/>
        <v>97.577045586699128</v>
      </c>
      <c r="U21" s="61">
        <f t="shared" ref="U21:U27" si="20">(S21+Q21)*T21/100</f>
        <v>1637.3692158895253</v>
      </c>
      <c r="V21" s="64">
        <f t="shared" ref="V21:V27" si="21">V20+U21/1000</f>
        <v>13.890496258919637</v>
      </c>
      <c r="W21" s="64">
        <f t="shared" ref="W21:W27" si="22">W20+(G21+K21)/1000</f>
        <v>0.21100000000000002</v>
      </c>
      <c r="X21" s="72">
        <f t="shared" si="10"/>
        <v>5.2237972362666814E-2</v>
      </c>
      <c r="Y21" s="64">
        <f t="shared" si="11"/>
        <v>6.8676522317731932</v>
      </c>
      <c r="Z21" s="64">
        <f t="shared" ref="Z21:Z27" si="23">V21+Y21</f>
        <v>20.758148490692829</v>
      </c>
      <c r="AB21" s="70">
        <f t="shared" si="5"/>
        <v>3.4</v>
      </c>
    </row>
    <row r="22" spans="1:28" ht="20" customHeight="1">
      <c r="A22" s="35">
        <f t="shared" si="6"/>
        <v>17</v>
      </c>
      <c r="B22" s="24">
        <v>41420</v>
      </c>
      <c r="C22" s="25">
        <v>0.97083333333333333</v>
      </c>
      <c r="D22" s="26">
        <v>42</v>
      </c>
      <c r="E22" s="27">
        <v>33</v>
      </c>
      <c r="F22" s="36">
        <v>1780</v>
      </c>
      <c r="G22" s="29">
        <v>18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5"/>
        <v>37.999999998137355</v>
      </c>
      <c r="P22" s="64">
        <f t="shared" si="16"/>
        <v>8.6833333333488554</v>
      </c>
      <c r="Q22" s="61">
        <f t="shared" si="17"/>
        <v>1756.9930249110319</v>
      </c>
      <c r="R22" s="62">
        <f t="shared" si="18"/>
        <v>4140</v>
      </c>
      <c r="S22" s="63">
        <f t="shared" si="19"/>
        <v>0</v>
      </c>
      <c r="T22" s="114">
        <f t="shared" si="14"/>
        <v>97.577045586699128</v>
      </c>
      <c r="U22" s="61">
        <f t="shared" si="20"/>
        <v>1714.4218848725616</v>
      </c>
      <c r="V22" s="64">
        <f t="shared" si="21"/>
        <v>15.604918143792197</v>
      </c>
      <c r="W22" s="64">
        <f t="shared" si="22"/>
        <v>0.22900000000000001</v>
      </c>
      <c r="X22" s="72">
        <f t="shared" si="10"/>
        <v>5.3080502185156531E-2</v>
      </c>
      <c r="Y22" s="64">
        <f t="shared" si="11"/>
        <v>7.3538979929899178</v>
      </c>
      <c r="Z22" s="64">
        <f t="shared" si="23"/>
        <v>22.958816136782115</v>
      </c>
      <c r="AB22" s="70">
        <f t="shared" si="5"/>
        <v>3.3</v>
      </c>
    </row>
    <row r="23" spans="1:28" ht="20" customHeight="1">
      <c r="A23" s="35">
        <f t="shared" si="6"/>
        <v>18</v>
      </c>
      <c r="B23" s="24">
        <v>41421</v>
      </c>
      <c r="C23" s="25">
        <v>1.7361111111111112E-2</v>
      </c>
      <c r="D23" s="26">
        <v>39</v>
      </c>
      <c r="E23" s="27">
        <v>31</v>
      </c>
      <c r="F23" s="36">
        <v>1780</v>
      </c>
      <c r="G23" s="29">
        <v>8</v>
      </c>
      <c r="H23" s="37"/>
      <c r="I23" s="31">
        <v>1</v>
      </c>
      <c r="J23" s="31">
        <v>1</v>
      </c>
      <c r="K23" s="32">
        <v>0</v>
      </c>
      <c r="L23" s="27">
        <v>8</v>
      </c>
      <c r="M23" s="38" t="s">
        <v>59</v>
      </c>
      <c r="N23" s="39"/>
      <c r="O23" s="61">
        <f t="shared" si="15"/>
        <v>66.999999998370185</v>
      </c>
      <c r="P23" s="64">
        <f t="shared" si="16"/>
        <v>9.7999999999883585</v>
      </c>
      <c r="Q23" s="61">
        <f t="shared" si="17"/>
        <v>1756.9930249110319</v>
      </c>
      <c r="R23" s="62">
        <f t="shared" si="18"/>
        <v>4140</v>
      </c>
      <c r="S23" s="63">
        <f t="shared" si="19"/>
        <v>0</v>
      </c>
      <c r="T23" s="114">
        <v>97.577045586699128</v>
      </c>
      <c r="U23" s="61">
        <f t="shared" si="20"/>
        <v>1714.4218848725616</v>
      </c>
      <c r="V23" s="64">
        <f t="shared" si="21"/>
        <v>17.319340028664758</v>
      </c>
      <c r="W23" s="64">
        <f t="shared" si="22"/>
        <v>0.23700000000000002</v>
      </c>
      <c r="X23" s="72">
        <f t="shared" si="10"/>
        <v>5.4806547696560716E-2</v>
      </c>
      <c r="Y23" s="64">
        <f t="shared" si="11"/>
        <v>7.137199265960537</v>
      </c>
      <c r="Z23" s="64">
        <f t="shared" si="23"/>
        <v>24.456539294625294</v>
      </c>
      <c r="AB23" s="70">
        <f t="shared" si="5"/>
        <v>3.1</v>
      </c>
    </row>
    <row r="24" spans="1:28" ht="20" customHeight="1">
      <c r="A24" s="35">
        <f t="shared" si="6"/>
        <v>19</v>
      </c>
      <c r="B24" s="24">
        <v>41421</v>
      </c>
      <c r="C24" s="25">
        <v>5.2777777777777778E-2</v>
      </c>
      <c r="D24" s="26">
        <v>31</v>
      </c>
      <c r="E24" s="27">
        <v>23</v>
      </c>
      <c r="F24" s="36">
        <v>1820</v>
      </c>
      <c r="G24" s="29">
        <v>32</v>
      </c>
      <c r="H24" s="37"/>
      <c r="I24" s="31">
        <v>1</v>
      </c>
      <c r="J24" s="31">
        <v>1</v>
      </c>
      <c r="K24" s="32">
        <v>0</v>
      </c>
      <c r="L24" s="27">
        <v>8</v>
      </c>
      <c r="M24" s="38"/>
      <c r="N24" s="39"/>
      <c r="O24" s="61">
        <f t="shared" si="15"/>
        <v>50.999999998603016</v>
      </c>
      <c r="P24" s="64">
        <f t="shared" si="16"/>
        <v>10.649999999965075</v>
      </c>
      <c r="Q24" s="61">
        <f t="shared" si="17"/>
        <v>1796.4760142348753</v>
      </c>
      <c r="R24" s="62">
        <f t="shared" si="18"/>
        <v>4140</v>
      </c>
      <c r="S24" s="63">
        <f t="shared" si="19"/>
        <v>0</v>
      </c>
      <c r="T24" s="114">
        <f t="shared" si="14"/>
        <v>97.577045586699128</v>
      </c>
      <c r="U24" s="61">
        <f t="shared" si="20"/>
        <v>1752.9482193640797</v>
      </c>
      <c r="V24" s="64">
        <f t="shared" si="21"/>
        <v>19.072288248028837</v>
      </c>
      <c r="W24" s="64">
        <f t="shared" si="22"/>
        <v>0.26900000000000002</v>
      </c>
      <c r="X24" s="72">
        <f t="shared" si="10"/>
        <v>6.2290546351985734E-2</v>
      </c>
      <c r="Y24" s="64">
        <f t="shared" si="11"/>
        <v>5.9499525252079311</v>
      </c>
      <c r="Z24" s="64">
        <f t="shared" si="23"/>
        <v>25.022240773236767</v>
      </c>
      <c r="AB24" s="70">
        <f t="shared" si="5"/>
        <v>2.2999999999999998</v>
      </c>
    </row>
    <row r="25" spans="1:28" ht="20" customHeight="1">
      <c r="A25" s="35">
        <f t="shared" si="6"/>
        <v>20</v>
      </c>
      <c r="B25" s="24">
        <v>41421</v>
      </c>
      <c r="C25" s="25">
        <v>7.8472222222222221E-2</v>
      </c>
      <c r="D25" s="26">
        <v>23</v>
      </c>
      <c r="E25" s="27">
        <v>18</v>
      </c>
      <c r="F25" s="36">
        <v>1300</v>
      </c>
      <c r="G25" s="29">
        <v>20</v>
      </c>
      <c r="H25" s="37"/>
      <c r="I25" s="31">
        <v>1</v>
      </c>
      <c r="J25" s="31">
        <v>1</v>
      </c>
      <c r="K25" s="32">
        <v>0</v>
      </c>
      <c r="L25" s="27">
        <v>8</v>
      </c>
      <c r="M25" s="38" t="s">
        <v>60</v>
      </c>
      <c r="N25" s="39" t="s">
        <v>61</v>
      </c>
      <c r="O25" s="61">
        <f t="shared" si="15"/>
        <v>37.000000005355105</v>
      </c>
      <c r="P25" s="64">
        <f t="shared" si="16"/>
        <v>11.266666666720994</v>
      </c>
      <c r="Q25" s="61">
        <f t="shared" si="17"/>
        <v>1283.1971530249109</v>
      </c>
      <c r="R25" s="62">
        <f t="shared" si="18"/>
        <v>4140</v>
      </c>
      <c r="S25" s="63">
        <f t="shared" si="19"/>
        <v>0</v>
      </c>
      <c r="T25" s="114">
        <v>97.567310974032054</v>
      </c>
      <c r="U25" s="61">
        <f t="shared" si="20"/>
        <v>1251.9809567017408</v>
      </c>
      <c r="V25" s="64">
        <f t="shared" si="21"/>
        <v>20.324269204730577</v>
      </c>
      <c r="W25" s="64">
        <f t="shared" si="22"/>
        <v>0.28900000000000003</v>
      </c>
      <c r="X25" s="72">
        <f t="shared" si="10"/>
        <v>6.7478543301513705E-2</v>
      </c>
      <c r="Y25" s="64">
        <f t="shared" si="11"/>
        <v>5.1114606594100396</v>
      </c>
      <c r="Z25" s="64">
        <f t="shared" si="23"/>
        <v>25.435729864140615</v>
      </c>
      <c r="AB25" s="70">
        <f t="shared" si="5"/>
        <v>1.8</v>
      </c>
    </row>
    <row r="26" spans="1:28" ht="20" customHeight="1">
      <c r="A26" s="35">
        <f t="shared" si="6"/>
        <v>21</v>
      </c>
      <c r="B26" s="24">
        <v>41421</v>
      </c>
      <c r="C26" s="25">
        <v>0.11805555555555557</v>
      </c>
      <c r="D26" s="26">
        <v>18</v>
      </c>
      <c r="E26" s="27">
        <v>16</v>
      </c>
      <c r="F26" s="36">
        <v>830</v>
      </c>
      <c r="G26" s="29">
        <v>3</v>
      </c>
      <c r="H26" s="37"/>
      <c r="I26" s="31">
        <v>1</v>
      </c>
      <c r="J26" s="31">
        <v>1</v>
      </c>
      <c r="K26" s="32">
        <v>0</v>
      </c>
      <c r="L26" s="27">
        <v>8</v>
      </c>
      <c r="M26" s="38"/>
      <c r="N26" s="39"/>
      <c r="O26" s="61">
        <f t="shared" si="15"/>
        <v>56.999999997206032</v>
      </c>
      <c r="P26" s="64">
        <f t="shared" si="16"/>
        <v>12.216666666674428</v>
      </c>
      <c r="Q26" s="61">
        <f t="shared" si="17"/>
        <v>819.27202846975092</v>
      </c>
      <c r="R26" s="62">
        <f t="shared" si="18"/>
        <v>4140</v>
      </c>
      <c r="S26" s="63">
        <f t="shared" si="19"/>
        <v>0</v>
      </c>
      <c r="T26" s="114">
        <f t="shared" si="14"/>
        <v>97.567310974032054</v>
      </c>
      <c r="U26" s="61">
        <f t="shared" si="20"/>
        <v>799.34168774034231</v>
      </c>
      <c r="V26" s="64">
        <f t="shared" si="21"/>
        <v>21.123610892470918</v>
      </c>
      <c r="W26" s="64">
        <f t="shared" si="22"/>
        <v>0.29200000000000004</v>
      </c>
      <c r="X26" s="72">
        <f t="shared" si="10"/>
        <v>6.9672777191302354E-2</v>
      </c>
      <c r="Y26" s="64">
        <f t="shared" si="11"/>
        <v>4.6699970512642626</v>
      </c>
      <c r="Z26" s="64">
        <f t="shared" si="23"/>
        <v>25.793607943735182</v>
      </c>
      <c r="AB26" s="70">
        <f t="shared" si="5"/>
        <v>1.6</v>
      </c>
    </row>
    <row r="27" spans="1:28" ht="20" customHeight="1">
      <c r="A27" s="35">
        <f t="shared" si="6"/>
        <v>22</v>
      </c>
      <c r="B27" s="24">
        <v>41421</v>
      </c>
      <c r="C27" s="25">
        <v>0.18263888888888891</v>
      </c>
      <c r="D27" s="26">
        <v>16</v>
      </c>
      <c r="E27" s="27">
        <v>13</v>
      </c>
      <c r="F27" s="36">
        <v>810</v>
      </c>
      <c r="G27" s="29">
        <v>3</v>
      </c>
      <c r="H27" s="37"/>
      <c r="I27" s="31">
        <v>1</v>
      </c>
      <c r="J27" s="31">
        <v>1</v>
      </c>
      <c r="K27" s="32">
        <v>0</v>
      </c>
      <c r="L27" s="27">
        <v>8</v>
      </c>
      <c r="M27" s="38"/>
      <c r="N27" s="39"/>
      <c r="O27" s="61">
        <f t="shared" si="15"/>
        <v>92.999999999301508</v>
      </c>
      <c r="P27" s="64">
        <f t="shared" si="16"/>
        <v>13.766666666662786</v>
      </c>
      <c r="Q27" s="61">
        <f t="shared" si="17"/>
        <v>799.53053380782922</v>
      </c>
      <c r="R27" s="62">
        <f t="shared" si="18"/>
        <v>4140</v>
      </c>
      <c r="S27" s="63">
        <f t="shared" si="19"/>
        <v>0</v>
      </c>
      <c r="T27" s="114">
        <f t="shared" si="14"/>
        <v>97.567310974032054</v>
      </c>
      <c r="U27" s="61">
        <f t="shared" si="20"/>
        <v>780.08044225262313</v>
      </c>
      <c r="V27" s="64">
        <f t="shared" si="21"/>
        <v>21.90369133472354</v>
      </c>
      <c r="W27" s="64">
        <f t="shared" si="22"/>
        <v>0.29500000000000004</v>
      </c>
      <c r="X27" s="72">
        <f t="shared" si="10"/>
        <v>7.3098633304074498E-2</v>
      </c>
      <c r="Y27" s="64">
        <f t="shared" si="11"/>
        <v>3.8693472581677137</v>
      </c>
      <c r="Z27" s="64">
        <f t="shared" si="23"/>
        <v>25.773038592891254</v>
      </c>
      <c r="AB27" s="70">
        <f t="shared" si="5"/>
        <v>1.3</v>
      </c>
    </row>
    <row r="28" spans="1:28" ht="20" customHeight="1">
      <c r="A28" s="35">
        <f t="shared" si="6"/>
        <v>23</v>
      </c>
      <c r="B28" s="24">
        <v>41421</v>
      </c>
      <c r="C28" s="25">
        <v>0.21458333333333335</v>
      </c>
      <c r="D28" s="26">
        <v>13</v>
      </c>
      <c r="E28" s="27">
        <v>10</v>
      </c>
      <c r="F28" s="36">
        <v>760</v>
      </c>
      <c r="G28" s="29">
        <v>17</v>
      </c>
      <c r="H28" s="37"/>
      <c r="I28" s="31">
        <v>1</v>
      </c>
      <c r="J28" s="31">
        <v>1</v>
      </c>
      <c r="K28" s="32">
        <v>0</v>
      </c>
      <c r="L28" s="27">
        <v>8</v>
      </c>
      <c r="M28" s="38"/>
      <c r="N28" s="39"/>
      <c r="O28" s="61">
        <f t="shared" ref="O28:O35" si="24">((B28 +C28) - (B27 + C27)) * 24 * 60</f>
        <v>46.000000003259629</v>
      </c>
      <c r="P28" s="64">
        <f t="shared" ref="P28:P35" si="25">P27+O28/60</f>
        <v>14.53333333338378</v>
      </c>
      <c r="Q28" s="61">
        <f t="shared" ref="Q28:Q35" si="26">F28*$F$2/1000*273/(273+L28)</f>
        <v>750.17679715302484</v>
      </c>
      <c r="R28" s="62">
        <f t="shared" ref="R28:R35" si="27">$N$2-K28</f>
        <v>4140</v>
      </c>
      <c r="S28" s="63">
        <f t="shared" ref="S28:S35" si="28">IF(I28=J28,0,R28*(J28-I28))*273/(273+L28)</f>
        <v>0</v>
      </c>
      <c r="T28" s="114">
        <f t="shared" si="14"/>
        <v>97.567310974032054</v>
      </c>
      <c r="U28" s="61">
        <f t="shared" ref="U28:U35" si="29">(S28+Q28)*T28/100</f>
        <v>731.92732853332529</v>
      </c>
      <c r="V28" s="64">
        <f t="shared" ref="V28:V35" si="30">V27+U28/1000</f>
        <v>22.635618663256864</v>
      </c>
      <c r="W28" s="64">
        <f t="shared" ref="W28:W35" si="31">W27+(G28+K28)/1000</f>
        <v>0.31200000000000006</v>
      </c>
      <c r="X28" s="72">
        <f t="shared" ref="X28:X35" si="32">X$2/1000*EXP(-0.016*E28)</f>
        <v>7.6692941006959017E-2</v>
      </c>
      <c r="Y28" s="64">
        <f t="shared" ref="Y28:Y35" si="33">(W28-(X28-X27))*(E28+1)*1*273/(273+L28)*T28/100</f>
        <v>3.2157015374306939</v>
      </c>
      <c r="Z28" s="64">
        <f t="shared" ref="Z28:Z35" si="34">V28+Y28</f>
        <v>25.851320200687557</v>
      </c>
      <c r="AB28" s="70">
        <f t="shared" ref="AB28:AB35" si="35">E28/10</f>
        <v>1</v>
      </c>
    </row>
    <row r="29" spans="1:28" ht="20" customHeight="1">
      <c r="A29" s="35">
        <f t="shared" si="6"/>
        <v>24</v>
      </c>
      <c r="B29" s="24">
        <v>41421</v>
      </c>
      <c r="C29" s="25">
        <v>0.24722222222222223</v>
      </c>
      <c r="D29" s="26">
        <v>11</v>
      </c>
      <c r="E29" s="27">
        <v>7</v>
      </c>
      <c r="F29" s="36">
        <v>860</v>
      </c>
      <c r="G29" s="29">
        <v>22</v>
      </c>
      <c r="H29" s="37"/>
      <c r="I29" s="31">
        <v>1</v>
      </c>
      <c r="J29" s="31">
        <v>1</v>
      </c>
      <c r="K29" s="32">
        <v>0</v>
      </c>
      <c r="L29" s="27">
        <v>8</v>
      </c>
      <c r="M29" s="38" t="s">
        <v>62</v>
      </c>
      <c r="N29" s="39"/>
      <c r="O29" s="61">
        <f t="shared" si="24"/>
        <v>46.999999996041879</v>
      </c>
      <c r="P29" s="64">
        <f t="shared" si="25"/>
        <v>15.316666666651145</v>
      </c>
      <c r="Q29" s="61">
        <f t="shared" si="26"/>
        <v>848.88427046263348</v>
      </c>
      <c r="R29" s="62">
        <f t="shared" si="27"/>
        <v>4140</v>
      </c>
      <c r="S29" s="63">
        <f t="shared" si="28"/>
        <v>0</v>
      </c>
      <c r="T29" s="114">
        <v>95.826994996652175</v>
      </c>
      <c r="U29" s="61">
        <f t="shared" si="29"/>
        <v>813.46028738359519</v>
      </c>
      <c r="V29" s="64">
        <f t="shared" si="30"/>
        <v>23.449078950640459</v>
      </c>
      <c r="W29" s="64">
        <f t="shared" si="31"/>
        <v>0.33400000000000007</v>
      </c>
      <c r="X29" s="72">
        <f t="shared" si="32"/>
        <v>8.0463983175032144E-2</v>
      </c>
      <c r="Y29" s="64">
        <f t="shared" si="33"/>
        <v>2.4595142184613112</v>
      </c>
      <c r="Z29" s="64">
        <f t="shared" si="34"/>
        <v>25.908593169101771</v>
      </c>
      <c r="AB29" s="70">
        <f t="shared" si="35"/>
        <v>0.7</v>
      </c>
    </row>
    <row r="30" spans="1:28" ht="20" customHeight="1">
      <c r="A30" s="35">
        <f t="shared" si="6"/>
        <v>25</v>
      </c>
      <c r="B30" s="24">
        <v>41421</v>
      </c>
      <c r="C30" s="25">
        <v>0.3034722222222222</v>
      </c>
      <c r="D30" s="26">
        <v>8</v>
      </c>
      <c r="E30" s="27">
        <v>6</v>
      </c>
      <c r="F30" s="36">
        <v>450</v>
      </c>
      <c r="G30" s="29">
        <v>20</v>
      </c>
      <c r="H30" s="37"/>
      <c r="I30" s="31">
        <v>1</v>
      </c>
      <c r="J30" s="31">
        <v>1</v>
      </c>
      <c r="K30" s="32">
        <v>0</v>
      </c>
      <c r="L30" s="27">
        <v>8</v>
      </c>
      <c r="M30" s="38"/>
      <c r="N30" s="39"/>
      <c r="O30" s="61">
        <f t="shared" si="24"/>
        <v>81.000000002095476</v>
      </c>
      <c r="P30" s="64">
        <f t="shared" si="25"/>
        <v>16.666666666686069</v>
      </c>
      <c r="Q30" s="61">
        <f t="shared" si="26"/>
        <v>444.18362989323839</v>
      </c>
      <c r="R30" s="62">
        <f t="shared" si="27"/>
        <v>4140</v>
      </c>
      <c r="S30" s="63">
        <f t="shared" si="28"/>
        <v>0</v>
      </c>
      <c r="T30" s="114">
        <f t="shared" si="14"/>
        <v>95.826994996652175</v>
      </c>
      <c r="U30" s="61">
        <f t="shared" si="29"/>
        <v>425.64782479374162</v>
      </c>
      <c r="V30" s="64">
        <f t="shared" si="30"/>
        <v>23.874726775434201</v>
      </c>
      <c r="W30" s="64">
        <f t="shared" si="31"/>
        <v>0.35400000000000009</v>
      </c>
      <c r="X30" s="72">
        <f t="shared" si="32"/>
        <v>8.1761761446183551E-2</v>
      </c>
      <c r="Y30" s="64">
        <f t="shared" si="33"/>
        <v>2.2985313524751332</v>
      </c>
      <c r="Z30" s="64">
        <f t="shared" si="34"/>
        <v>26.173258127909335</v>
      </c>
      <c r="AB30" s="70">
        <f t="shared" si="35"/>
        <v>0.6</v>
      </c>
    </row>
    <row r="31" spans="1:28" ht="20" customHeight="1">
      <c r="A31" s="35">
        <f t="shared" si="6"/>
        <v>26</v>
      </c>
      <c r="B31" s="24">
        <v>41421</v>
      </c>
      <c r="C31" s="25">
        <v>0.32013888888888892</v>
      </c>
      <c r="D31" s="26">
        <v>6</v>
      </c>
      <c r="E31" s="27">
        <v>4</v>
      </c>
      <c r="F31" s="36">
        <v>600</v>
      </c>
      <c r="G31" s="29">
        <v>15</v>
      </c>
      <c r="H31" s="37"/>
      <c r="I31" s="31">
        <v>1</v>
      </c>
      <c r="J31" s="31">
        <v>1</v>
      </c>
      <c r="K31" s="32">
        <v>0</v>
      </c>
      <c r="L31" s="27">
        <v>8</v>
      </c>
      <c r="M31" s="38"/>
      <c r="N31" s="39"/>
      <c r="O31" s="61">
        <f t="shared" si="24"/>
        <v>24.000000004889444</v>
      </c>
      <c r="P31" s="64">
        <f t="shared" si="25"/>
        <v>17.06666666676756</v>
      </c>
      <c r="Q31" s="61">
        <f t="shared" si="26"/>
        <v>592.2448398576513</v>
      </c>
      <c r="R31" s="62">
        <f t="shared" si="27"/>
        <v>4140</v>
      </c>
      <c r="S31" s="63">
        <f t="shared" si="28"/>
        <v>0</v>
      </c>
      <c r="T31" s="114">
        <f t="shared" si="14"/>
        <v>95.826994996652175</v>
      </c>
      <c r="U31" s="61">
        <f t="shared" si="29"/>
        <v>567.53043305832227</v>
      </c>
      <c r="V31" s="64">
        <f t="shared" si="30"/>
        <v>24.442257208492524</v>
      </c>
      <c r="W31" s="64">
        <f t="shared" si="31"/>
        <v>0.36900000000000011</v>
      </c>
      <c r="X31" s="72">
        <f t="shared" si="32"/>
        <v>8.4420449957765653E-2</v>
      </c>
      <c r="Y31" s="64">
        <f t="shared" si="33"/>
        <v>1.7052972699817548</v>
      </c>
      <c r="Z31" s="64">
        <f t="shared" si="34"/>
        <v>26.14755447847428</v>
      </c>
      <c r="AB31" s="70">
        <f t="shared" si="35"/>
        <v>0.4</v>
      </c>
    </row>
    <row r="32" spans="1:28" ht="20" customHeight="1">
      <c r="A32" s="35">
        <f t="shared" si="6"/>
        <v>27</v>
      </c>
      <c r="B32" s="24">
        <v>41421</v>
      </c>
      <c r="C32" s="25">
        <v>0.34722222222222227</v>
      </c>
      <c r="D32" s="26">
        <v>5</v>
      </c>
      <c r="E32" s="27">
        <v>2</v>
      </c>
      <c r="F32" s="36">
        <v>950</v>
      </c>
      <c r="G32" s="29">
        <v>54</v>
      </c>
      <c r="H32" s="37"/>
      <c r="I32" s="31">
        <v>1</v>
      </c>
      <c r="J32" s="31">
        <v>1</v>
      </c>
      <c r="K32" s="32">
        <v>0</v>
      </c>
      <c r="L32" s="27">
        <v>8</v>
      </c>
      <c r="M32" s="38" t="s">
        <v>63</v>
      </c>
      <c r="N32" s="39" t="s">
        <v>64</v>
      </c>
      <c r="O32" s="61">
        <f t="shared" si="24"/>
        <v>38.999999990919605</v>
      </c>
      <c r="P32" s="64">
        <f t="shared" si="25"/>
        <v>17.71666666661622</v>
      </c>
      <c r="Q32" s="61">
        <f t="shared" si="26"/>
        <v>937.72099644128127</v>
      </c>
      <c r="R32" s="62">
        <f t="shared" si="27"/>
        <v>4140</v>
      </c>
      <c r="S32" s="63">
        <f t="shared" si="28"/>
        <v>0</v>
      </c>
      <c r="T32" s="114">
        <v>94.348301437056136</v>
      </c>
      <c r="U32" s="61">
        <f t="shared" si="29"/>
        <v>884.72383236098653</v>
      </c>
      <c r="V32" s="64">
        <f t="shared" si="30"/>
        <v>25.326981040853511</v>
      </c>
      <c r="W32" s="64">
        <f t="shared" si="31"/>
        <v>0.4230000000000001</v>
      </c>
      <c r="X32" s="72">
        <f t="shared" si="32"/>
        <v>8.7165592387127774E-2</v>
      </c>
      <c r="Y32" s="64">
        <f t="shared" si="33"/>
        <v>1.155644907246836</v>
      </c>
      <c r="Z32" s="64">
        <f t="shared" si="34"/>
        <v>26.482625948100345</v>
      </c>
      <c r="AB32" s="70">
        <f t="shared" si="35"/>
        <v>0.2</v>
      </c>
    </row>
    <row r="33" spans="1:28" ht="20" customHeight="1">
      <c r="A33" s="35">
        <f t="shared" si="6"/>
        <v>28</v>
      </c>
      <c r="B33" s="24">
        <v>41421</v>
      </c>
      <c r="C33" s="25">
        <v>0.35347222222222219</v>
      </c>
      <c r="D33" s="26">
        <v>2</v>
      </c>
      <c r="E33" s="27">
        <v>1</v>
      </c>
      <c r="F33" s="36">
        <v>930</v>
      </c>
      <c r="G33" s="29">
        <v>69</v>
      </c>
      <c r="H33" s="37"/>
      <c r="I33" s="31">
        <v>1</v>
      </c>
      <c r="J33" s="31">
        <v>1</v>
      </c>
      <c r="K33" s="32">
        <v>0</v>
      </c>
      <c r="L33" s="27">
        <v>8</v>
      </c>
      <c r="M33" s="38"/>
      <c r="N33" s="39"/>
      <c r="O33" s="61">
        <f t="shared" si="24"/>
        <v>9.0000000083819032</v>
      </c>
      <c r="P33" s="64">
        <f t="shared" si="25"/>
        <v>17.866666666755918</v>
      </c>
      <c r="Q33" s="61">
        <f t="shared" si="26"/>
        <v>917.97950177935945</v>
      </c>
      <c r="R33" s="62">
        <f t="shared" si="27"/>
        <v>4140</v>
      </c>
      <c r="S33" s="63">
        <f t="shared" si="28"/>
        <v>0</v>
      </c>
      <c r="T33" s="114">
        <f t="shared" si="14"/>
        <v>94.348301437056136</v>
      </c>
      <c r="U33" s="61">
        <f t="shared" si="29"/>
        <v>866.09806746917616</v>
      </c>
      <c r="V33" s="64">
        <f t="shared" si="30"/>
        <v>26.193079108322689</v>
      </c>
      <c r="W33" s="64">
        <f t="shared" si="31"/>
        <v>0.4920000000000001</v>
      </c>
      <c r="X33" s="72">
        <f t="shared" si="32"/>
        <v>8.8571458804975661E-2</v>
      </c>
      <c r="Y33" s="64">
        <f t="shared" si="33"/>
        <v>0.89937903439001099</v>
      </c>
      <c r="Z33" s="64">
        <f t="shared" si="34"/>
        <v>27.092458142712701</v>
      </c>
      <c r="AB33" s="70">
        <f t="shared" si="35"/>
        <v>0.1</v>
      </c>
    </row>
    <row r="34" spans="1:28" ht="20" customHeight="1">
      <c r="A34" s="35">
        <f t="shared" si="6"/>
        <v>29</v>
      </c>
      <c r="B34" s="24">
        <v>41421</v>
      </c>
      <c r="C34" s="25">
        <v>0.35694444444444445</v>
      </c>
      <c r="D34" s="26">
        <v>1</v>
      </c>
      <c r="E34" s="27">
        <v>0</v>
      </c>
      <c r="F34" s="36">
        <v>600</v>
      </c>
      <c r="G34" s="29">
        <v>5</v>
      </c>
      <c r="H34" s="37"/>
      <c r="I34" s="31">
        <v>1</v>
      </c>
      <c r="J34" s="31">
        <v>1</v>
      </c>
      <c r="K34" s="32">
        <v>0</v>
      </c>
      <c r="L34" s="27">
        <v>8</v>
      </c>
      <c r="M34" s="38"/>
      <c r="N34" s="39"/>
      <c r="O34" s="61">
        <f t="shared" si="24"/>
        <v>4.9999999953433871</v>
      </c>
      <c r="P34" s="64">
        <f t="shared" si="25"/>
        <v>17.950000000011642</v>
      </c>
      <c r="Q34" s="61">
        <f t="shared" si="26"/>
        <v>592.2448398576513</v>
      </c>
      <c r="R34" s="62">
        <f t="shared" si="27"/>
        <v>4140</v>
      </c>
      <c r="S34" s="63">
        <f t="shared" si="28"/>
        <v>0</v>
      </c>
      <c r="T34" s="114">
        <f t="shared" si="14"/>
        <v>94.348301437056136</v>
      </c>
      <c r="U34" s="61">
        <f t="shared" si="29"/>
        <v>558.77294675430721</v>
      </c>
      <c r="V34" s="64">
        <f t="shared" si="30"/>
        <v>26.751852055076995</v>
      </c>
      <c r="W34" s="64">
        <f t="shared" si="31"/>
        <v>0.49700000000000011</v>
      </c>
      <c r="X34" s="72">
        <f t="shared" si="32"/>
        <v>0.09</v>
      </c>
      <c r="Y34" s="64">
        <f t="shared" si="33"/>
        <v>0.45425184442878452</v>
      </c>
      <c r="Z34" s="64">
        <f t="shared" si="34"/>
        <v>27.206103899505781</v>
      </c>
      <c r="AB34" s="70">
        <f t="shared" si="35"/>
        <v>0</v>
      </c>
    </row>
    <row r="35" spans="1:28" ht="20" customHeight="1">
      <c r="A35" s="35">
        <f t="shared" si="6"/>
        <v>30</v>
      </c>
      <c r="B35" s="24">
        <v>41421</v>
      </c>
      <c r="C35" s="25">
        <v>0.52638888888888891</v>
      </c>
      <c r="D35" s="26">
        <v>0</v>
      </c>
      <c r="E35" s="27">
        <v>0</v>
      </c>
      <c r="F35" s="36">
        <v>320</v>
      </c>
      <c r="G35" s="29">
        <v>2</v>
      </c>
      <c r="H35" s="37"/>
      <c r="I35" s="31">
        <v>1</v>
      </c>
      <c r="J35" s="31">
        <v>1</v>
      </c>
      <c r="K35" s="32">
        <v>0</v>
      </c>
      <c r="L35" s="27">
        <v>8</v>
      </c>
      <c r="M35" s="38" t="s">
        <v>65</v>
      </c>
      <c r="N35" s="39"/>
      <c r="O35" s="61">
        <f t="shared" si="24"/>
        <v>243.99999999906868</v>
      </c>
      <c r="P35" s="64">
        <f t="shared" si="25"/>
        <v>22.016666666662786</v>
      </c>
      <c r="Q35" s="61">
        <f t="shared" si="26"/>
        <v>315.8639145907473</v>
      </c>
      <c r="R35" s="62">
        <f t="shared" si="27"/>
        <v>4140</v>
      </c>
      <c r="S35" s="63">
        <f t="shared" si="28"/>
        <v>0</v>
      </c>
      <c r="T35" s="114">
        <v>94.795595941357718</v>
      </c>
      <c r="U35" s="61">
        <f t="shared" si="29"/>
        <v>299.42508020000002</v>
      </c>
      <c r="V35" s="64">
        <f t="shared" si="30"/>
        <v>27.051277135276994</v>
      </c>
      <c r="W35" s="64">
        <f t="shared" si="31"/>
        <v>0.49900000000000011</v>
      </c>
      <c r="X35" s="72">
        <f t="shared" si="32"/>
        <v>0.09</v>
      </c>
      <c r="Y35" s="64">
        <f t="shared" si="33"/>
        <v>0.45956297680794811</v>
      </c>
      <c r="Z35" s="64">
        <f t="shared" si="34"/>
        <v>27.510840112084942</v>
      </c>
      <c r="AB35" s="70">
        <f t="shared" si="35"/>
        <v>0</v>
      </c>
    </row>
    <row r="36" spans="1:28" ht="20" customHeight="1"/>
    <row r="37" spans="1:28" ht="20" customHeight="1"/>
    <row r="38" spans="1:28" ht="20" customHeight="1"/>
    <row r="39" spans="1:28" ht="20" customHeight="1"/>
    <row r="40" spans="1:28" ht="20" customHeight="1"/>
    <row r="41" spans="1:28" ht="20" customHeight="1"/>
    <row r="42" spans="1:28" ht="20" customHeight="1"/>
    <row r="43" spans="1:28" ht="20" customHeight="1"/>
    <row r="44" spans="1:28" ht="20" customHeight="1"/>
    <row r="45" spans="1:28" ht="20" customHeight="1"/>
    <row r="46" spans="1:28" ht="20" customHeight="1"/>
    <row r="47" spans="1:28" ht="20" customHeight="1"/>
    <row r="48" spans="1:2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</sheetData>
  <mergeCells count="22"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W4:Y4"/>
    <mergeCell ref="U4:V4"/>
    <mergeCell ref="O4:P4"/>
    <mergeCell ref="Q3:S3"/>
    <mergeCell ref="R4:S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33"/>
  <sheetViews>
    <sheetView workbookViewId="0">
      <selection activeCell="M1" sqref="M1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UT-GOM2-1-H005-10FB-2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67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33" ca="1" si="0">INDIRECT(CONCATENATE("'",$M$1,"'!A",ROW()+2))</f>
        <v>1</v>
      </c>
      <c r="B4" s="18">
        <f t="shared" ref="B4:B33" ca="1" si="1">INDIRECT(CONCATENATE("'",$M$1,"'!D",ROW()+2))/10</f>
        <v>20.3</v>
      </c>
      <c r="C4" s="18">
        <f t="shared" ref="C4:C33" ca="1" si="2">INDIRECT(CONCATENATE("'",$M$1,"'!E",ROW()+2))/10</f>
        <v>20.3</v>
      </c>
      <c r="D4" s="19">
        <f ca="1">(INDIRECT(CONCATENATE("'",$M$1,"'!R",ROW()+2))+INDIRECT(CONCATENATE("'",$M$1,"'!T",ROW()+2)))/1000</f>
        <v>4.2364117689906031</v>
      </c>
      <c r="E4" s="18">
        <f ca="1">INDIRECT(CONCATENATE("'",$M$1,"'!t",ROW()+2))</f>
        <v>96.411768990603591</v>
      </c>
      <c r="F4" s="68" t="str">
        <f ca="1">IF(INDIRECT(CONCATENATE("'",$M$1,"'!m",ROW()+2))="","",INDIRECT(CONCATENATE("'",$M$1,"'!m",ROW()+2)))</f>
        <v/>
      </c>
      <c r="G4" s="19">
        <f t="shared" ref="G4:G33" ca="1" si="3">INDIRECT(CONCATENATE("'",$M$1,"'!x",ROW()+2))</f>
        <v>0</v>
      </c>
      <c r="H4" s="20">
        <f ca="1">D4/MAX(D4:D26)</f>
        <v>4.3470712499742346E-2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20.3</v>
      </c>
      <c r="C5" s="18">
        <f t="shared" ca="1" si="2"/>
        <v>15.1</v>
      </c>
      <c r="D5" s="19">
        <f t="shared" ref="D5:D33" ca="1" si="4">D4+(INDIRECT(CONCATENATE("'",$M$1,"'!R",ROW()+2))+INDIRECT(CONCATENATE("'",$M$1,"'!T",ROW()+2)))/1000</f>
        <v>8.4728235379812062</v>
      </c>
      <c r="E5" s="18">
        <f t="shared" ref="E5:E33" ca="1" si="5">INDIRECT(CONCATENATE("'",$M$1,"'!t",ROW()+2))</f>
        <v>96.411768990603591</v>
      </c>
      <c r="F5" s="68" t="str">
        <f t="shared" ref="F5:F33" ca="1" si="6">IF(INDIRECT(CONCATENATE("'",$M$1,"'!m",ROW()+2))="","",INDIRECT(CONCATENATE("'",$M$1,"'!m",ROW()+2)))</f>
        <v/>
      </c>
      <c r="G5" s="19">
        <f t="shared" ca="1" si="3"/>
        <v>8.0350214626449066E-3</v>
      </c>
      <c r="H5" s="20">
        <f ca="1">D5/MAX(D5:D27)</f>
        <v>8.3319947477618797E-2</v>
      </c>
      <c r="I5" s="19">
        <f t="shared" ref="I5:I33" ca="1" si="7">INDIRECT(CONCATENATE("'",$M$1,"'!y",ROW()+2))</f>
        <v>0.99163020995603446</v>
      </c>
      <c r="J5" s="21"/>
    </row>
    <row r="6" spans="1:21">
      <c r="A6" s="17">
        <f t="shared" ca="1" si="0"/>
        <v>3</v>
      </c>
      <c r="B6" s="18">
        <f t="shared" ca="1" si="1"/>
        <v>15.2</v>
      </c>
      <c r="C6" s="18">
        <f t="shared" ca="1" si="2"/>
        <v>9.9</v>
      </c>
      <c r="D6" s="19">
        <f t="shared" ca="1" si="4"/>
        <v>12.709235306971809</v>
      </c>
      <c r="E6" s="18">
        <f t="shared" ca="1" si="5"/>
        <v>96.411768990603591</v>
      </c>
      <c r="F6" s="68" t="str">
        <f t="shared" ca="1" si="6"/>
        <v/>
      </c>
      <c r="G6" s="19">
        <f t="shared" ca="1" si="3"/>
        <v>1.8463755907617944E-2</v>
      </c>
      <c r="H6" s="20">
        <f ca="1">D6/MAX(D6:D28)</f>
        <v>0.1199821576425061</v>
      </c>
      <c r="I6" s="19">
        <f t="shared" ca="1" si="7"/>
        <v>1.5521799012615134</v>
      </c>
      <c r="J6" s="21"/>
    </row>
    <row r="7" spans="1:21">
      <c r="A7" s="17">
        <f t="shared" ca="1" si="0"/>
        <v>4</v>
      </c>
      <c r="B7" s="18">
        <f t="shared" ca="1" si="1"/>
        <v>9.9</v>
      </c>
      <c r="C7" s="18">
        <f t="shared" ca="1" si="2"/>
        <v>6.5</v>
      </c>
      <c r="D7" s="19">
        <f t="shared" ca="1" si="4"/>
        <v>16.945647075962412</v>
      </c>
      <c r="E7" s="18">
        <f t="shared" ca="1" si="5"/>
        <v>96.411768990603591</v>
      </c>
      <c r="F7" s="68" t="str">
        <f t="shared" ca="1" si="6"/>
        <v/>
      </c>
      <c r="G7" s="19">
        <f t="shared" ca="1" si="3"/>
        <v>3.1810921376290213E-2</v>
      </c>
      <c r="H7" s="20">
        <f ca="1">D7/MAX(D7:D29)</f>
        <v>0.15382497525093891</v>
      </c>
      <c r="I7" s="19">
        <f t="shared" ca="1" si="7"/>
        <v>1.4622226529420166</v>
      </c>
      <c r="J7" s="21"/>
    </row>
    <row r="8" spans="1:21">
      <c r="A8" s="17">
        <f t="shared" ca="1" si="0"/>
        <v>5</v>
      </c>
      <c r="B8" s="18">
        <f t="shared" ca="1" si="1"/>
        <v>6.5</v>
      </c>
      <c r="C8" s="18">
        <f t="shared" ca="1" si="2"/>
        <v>5.4</v>
      </c>
      <c r="D8" s="19">
        <f t="shared" ca="1" si="4"/>
        <v>21.182058844953016</v>
      </c>
      <c r="E8" s="18">
        <f t="shared" ca="1" si="5"/>
        <v>96.411768990603591</v>
      </c>
      <c r="F8" s="68" t="str">
        <f t="shared" ca="1" si="6"/>
        <v/>
      </c>
      <c r="G8" s="19">
        <f t="shared" ca="1" si="3"/>
        <v>3.7932553329832586E-2</v>
      </c>
      <c r="H8" s="20">
        <f ca="1">D8/MAX(D8:D29)</f>
        <v>0.19228121906367365</v>
      </c>
      <c r="I8" s="19">
        <f t="shared" ca="1" si="7"/>
        <v>2.0544068070241055</v>
      </c>
      <c r="J8" s="21"/>
    </row>
    <row r="9" spans="1:21">
      <c r="A9" s="17">
        <f t="shared" ca="1" si="0"/>
        <v>6</v>
      </c>
      <c r="B9" s="18">
        <f t="shared" ca="1" si="1"/>
        <v>5.7</v>
      </c>
      <c r="C9" s="18">
        <f t="shared" ca="1" si="2"/>
        <v>4.5</v>
      </c>
      <c r="D9" s="19">
        <f t="shared" ca="1" si="4"/>
        <v>25.418470613943619</v>
      </c>
      <c r="E9" s="18">
        <f t="shared" ca="1" si="5"/>
        <v>96.411768990603591</v>
      </c>
      <c r="F9" s="68" t="str">
        <f t="shared" ca="1" si="6"/>
        <v/>
      </c>
      <c r="G9" s="19">
        <f t="shared" ca="1" si="3"/>
        <v>4.3807703036397451E-2</v>
      </c>
      <c r="H9" s="20">
        <f ca="1">D9/MAX(D9:D29)</f>
        <v>0.23073746287640837</v>
      </c>
      <c r="I9" s="19">
        <f t="shared" ca="1" si="7"/>
        <v>2.375153232844025</v>
      </c>
      <c r="J9" s="21"/>
    </row>
    <row r="10" spans="1:21">
      <c r="A10" s="17">
        <f t="shared" ca="1" si="0"/>
        <v>7</v>
      </c>
      <c r="B10" s="18">
        <f t="shared" ca="1" si="1"/>
        <v>5.7</v>
      </c>
      <c r="C10" s="18">
        <f t="shared" ca="1" si="2"/>
        <v>3.7</v>
      </c>
      <c r="D10" s="19">
        <f t="shared" ca="1" si="4"/>
        <v>29.654882382934222</v>
      </c>
      <c r="E10" s="18">
        <f t="shared" ca="1" si="5"/>
        <v>96.411768990603591</v>
      </c>
      <c r="F10" s="68" t="str">
        <f t="shared" ca="1" si="6"/>
        <v/>
      </c>
      <c r="G10" s="19">
        <f t="shared" ca="1" si="3"/>
        <v>4.9789776427278644E-2</v>
      </c>
      <c r="H10" s="20">
        <f ca="1">D10/MAX(D10:D29)</f>
        <v>0.26919370668914311</v>
      </c>
      <c r="I10" s="19">
        <f t="shared" ca="1" si="7"/>
        <v>3.63116904955662</v>
      </c>
      <c r="J10" s="21"/>
    </row>
    <row r="11" spans="1:21">
      <c r="A11" s="17">
        <f t="shared" ca="1" si="0"/>
        <v>8</v>
      </c>
      <c r="B11" s="18">
        <f t="shared" ca="1" si="1"/>
        <v>5.3</v>
      </c>
      <c r="C11" s="18">
        <f t="shared" ca="1" si="2"/>
        <v>4</v>
      </c>
      <c r="D11" s="19">
        <f t="shared" ca="1" si="4"/>
        <v>33.891294151924825</v>
      </c>
      <c r="E11" s="18">
        <f t="shared" ca="1" si="5"/>
        <v>96.411768990603591</v>
      </c>
      <c r="F11" s="68" t="str">
        <f t="shared" ca="1" si="6"/>
        <v/>
      </c>
      <c r="G11" s="19">
        <f t="shared" ca="1" si="3"/>
        <v>4.745631816387437E-2</v>
      </c>
      <c r="H11" s="20">
        <f t="shared" ref="H11:H15" ca="1" si="8">D11/MAX(D11:D29)</f>
        <v>0.30764995050187782</v>
      </c>
      <c r="I11" s="19">
        <f t="shared" ca="1" si="7"/>
        <v>6.0421475155058326</v>
      </c>
      <c r="J11" s="21"/>
    </row>
    <row r="12" spans="1:21">
      <c r="A12" s="17">
        <f t="shared" ca="1" si="0"/>
        <v>9</v>
      </c>
      <c r="B12" s="18">
        <f t="shared" ca="1" si="1"/>
        <v>5.2</v>
      </c>
      <c r="C12" s="18">
        <f t="shared" ca="1" si="2"/>
        <v>4.0999999999999996</v>
      </c>
      <c r="D12" s="19">
        <f t="shared" ca="1" si="4"/>
        <v>38.127705920915432</v>
      </c>
      <c r="E12" s="18">
        <f t="shared" ca="1" si="5"/>
        <v>96.411768990603591</v>
      </c>
      <c r="F12" s="68" t="str">
        <f t="shared" ca="1" si="6"/>
        <v>1G</v>
      </c>
      <c r="G12" s="19">
        <f t="shared" ca="1" si="3"/>
        <v>4.6703059214304635E-2</v>
      </c>
      <c r="H12" s="20">
        <f t="shared" ca="1" si="8"/>
        <v>0.33329515750489253</v>
      </c>
      <c r="I12" s="19">
        <f t="shared" ca="1" si="7"/>
        <v>6.1273517380903293</v>
      </c>
      <c r="J12" s="21"/>
    </row>
    <row r="13" spans="1:21">
      <c r="A13" s="17">
        <f t="shared" ca="1" si="0"/>
        <v>10</v>
      </c>
      <c r="B13" s="18">
        <f t="shared" ca="1" si="1"/>
        <v>5.0999999999999996</v>
      </c>
      <c r="C13" s="18">
        <f t="shared" ca="1" si="2"/>
        <v>4.3</v>
      </c>
      <c r="D13" s="19">
        <f t="shared" ca="1" si="4"/>
        <v>42.365712919393545</v>
      </c>
      <c r="E13" s="18">
        <f t="shared" ca="1" si="5"/>
        <v>98.006998478115051</v>
      </c>
      <c r="F13" s="68" t="str">
        <f t="shared" ca="1" si="6"/>
        <v>2G</v>
      </c>
      <c r="G13" s="19">
        <f t="shared" ca="1" si="3"/>
        <v>4.5232220252288548E-2</v>
      </c>
      <c r="H13" s="20">
        <f t="shared" ca="1" si="8"/>
        <v>0.35712307363300932</v>
      </c>
      <c r="I13" s="19">
        <f t="shared" ca="1" si="7"/>
        <v>6.7648815120336003</v>
      </c>
      <c r="J13" s="21"/>
    </row>
    <row r="14" spans="1:21">
      <c r="A14" s="17">
        <f t="shared" ca="1" si="0"/>
        <v>11</v>
      </c>
      <c r="B14" s="18">
        <f t="shared" ca="1" si="1"/>
        <v>5.0999999999999996</v>
      </c>
      <c r="C14" s="18">
        <f t="shared" ca="1" si="2"/>
        <v>4.2</v>
      </c>
      <c r="D14" s="19">
        <f t="shared" ca="1" si="4"/>
        <v>46.603454679535858</v>
      </c>
      <c r="E14" s="18">
        <f t="shared" ca="1" si="5"/>
        <v>97.741760142313581</v>
      </c>
      <c r="F14" s="68" t="str">
        <f t="shared" ca="1" si="6"/>
        <v>3G</v>
      </c>
      <c r="G14" s="19">
        <f t="shared" ca="1" si="3"/>
        <v>4.5961756502956905E-2</v>
      </c>
      <c r="H14" s="20">
        <f t="shared" ca="1" si="8"/>
        <v>0.37930644681522996</v>
      </c>
      <c r="I14" s="19">
        <f t="shared" ca="1" si="7"/>
        <v>6.5033957505338131</v>
      </c>
      <c r="J14" s="21"/>
    </row>
    <row r="15" spans="1:21">
      <c r="A15" s="17">
        <f t="shared" ca="1" si="0"/>
        <v>12</v>
      </c>
      <c r="B15" s="18">
        <f t="shared" ca="1" si="1"/>
        <v>5</v>
      </c>
      <c r="C15" s="18">
        <f t="shared" ca="1" si="2"/>
        <v>4.3</v>
      </c>
      <c r="D15" s="19">
        <f t="shared" ca="1" si="4"/>
        <v>50.841173370369908</v>
      </c>
      <c r="E15" s="18">
        <f t="shared" ca="1" si="5"/>
        <v>97.718690834048019</v>
      </c>
      <c r="F15" s="68" t="str">
        <f t="shared" ca="1" si="6"/>
        <v>4G</v>
      </c>
      <c r="G15" s="19">
        <f t="shared" ca="1" si="3"/>
        <v>4.5232220252288548E-2</v>
      </c>
      <c r="H15" s="20">
        <f t="shared" ca="1" si="8"/>
        <v>0.40001013992243356</v>
      </c>
      <c r="I15" s="19">
        <f t="shared" ca="1" si="7"/>
        <v>6.7975596980880502</v>
      </c>
      <c r="J15" s="21"/>
    </row>
    <row r="16" spans="1:21">
      <c r="A16" s="17">
        <f t="shared" ca="1" si="0"/>
        <v>13</v>
      </c>
      <c r="B16" s="18">
        <f t="shared" ca="1" si="1"/>
        <v>4.9000000000000004</v>
      </c>
      <c r="C16" s="18">
        <f t="shared" ca="1" si="2"/>
        <v>4.2</v>
      </c>
      <c r="D16" s="19">
        <f t="shared" ca="1" si="4"/>
        <v>55.078704443091702</v>
      </c>
      <c r="E16" s="18">
        <f t="shared" ca="1" si="5"/>
        <v>97.531072721794217</v>
      </c>
      <c r="F16" s="68" t="str">
        <f t="shared" ca="1" si="6"/>
        <v>5G</v>
      </c>
      <c r="G16" s="19">
        <f t="shared" ca="1" si="3"/>
        <v>4.5961756502956905E-2</v>
      </c>
      <c r="H16" s="20">
        <f ca="1">D16/MAX(D16:D33)</f>
        <v>0.4333503499324759</v>
      </c>
      <c r="I16" s="19">
        <f t="shared" ca="1" si="7"/>
        <v>6.8153324371277595</v>
      </c>
      <c r="J16" s="21"/>
    </row>
    <row r="17" spans="1:10">
      <c r="A17" s="17">
        <f t="shared" ca="1" si="0"/>
        <v>14</v>
      </c>
      <c r="B17" s="18">
        <f t="shared" ca="1" si="1"/>
        <v>4.9000000000000004</v>
      </c>
      <c r="C17" s="18">
        <f t="shared" ca="1" si="2"/>
        <v>4</v>
      </c>
      <c r="D17" s="19">
        <f t="shared" ca="1" si="4"/>
        <v>59.316235515813496</v>
      </c>
      <c r="E17" s="18">
        <f t="shared" ca="1" si="5"/>
        <v>97.531072721794217</v>
      </c>
      <c r="F17" s="68" t="str">
        <f t="shared" ca="1" si="6"/>
        <v/>
      </c>
      <c r="G17" s="19">
        <f t="shared" ca="1" si="3"/>
        <v>4.745631816387437E-2</v>
      </c>
      <c r="H17" s="20">
        <f ca="1">D17/MAX(D17:D33)</f>
        <v>0.46669055994251823</v>
      </c>
      <c r="I17" s="19">
        <f t="shared" ca="1" si="7"/>
        <v>6.6628660241021143</v>
      </c>
      <c r="J17" s="21"/>
    </row>
    <row r="18" spans="1:10">
      <c r="A18" s="17">
        <f t="shared" ca="1" si="0"/>
        <v>15</v>
      </c>
      <c r="B18" s="18">
        <f t="shared" ca="1" si="1"/>
        <v>4.8</v>
      </c>
      <c r="C18" s="18">
        <f t="shared" ca="1" si="2"/>
        <v>3.9</v>
      </c>
      <c r="D18" s="19">
        <f t="shared" ca="1" si="4"/>
        <v>63.553812561400193</v>
      </c>
      <c r="E18" s="18">
        <f t="shared" ca="1" si="5"/>
        <v>97.577045586699128</v>
      </c>
      <c r="F18" s="68" t="str">
        <f t="shared" ca="1" si="6"/>
        <v>6G</v>
      </c>
      <c r="G18" s="19">
        <f t="shared" ca="1" si="3"/>
        <v>4.8221726190071042E-2</v>
      </c>
      <c r="H18" s="20">
        <f ca="1">D18/MAX(D18:D33)</f>
        <v>0.50003113165963586</v>
      </c>
      <c r="I18" s="19">
        <f t="shared" ca="1" si="7"/>
        <v>6.7965077193243486</v>
      </c>
      <c r="J18" s="21"/>
    </row>
    <row r="19" spans="1:10">
      <c r="A19" s="17">
        <f t="shared" ca="1" si="0"/>
        <v>16</v>
      </c>
      <c r="B19" s="18">
        <f t="shared" ca="1" si="1"/>
        <v>4.5999999999999996</v>
      </c>
      <c r="C19" s="18">
        <f t="shared" ca="1" si="2"/>
        <v>3.4</v>
      </c>
      <c r="D19" s="19">
        <f t="shared" ca="1" si="4"/>
        <v>67.791389606986897</v>
      </c>
      <c r="E19" s="18">
        <f t="shared" ca="1" si="5"/>
        <v>97.577045586699128</v>
      </c>
      <c r="F19" s="68" t="str">
        <f t="shared" ca="1" si="6"/>
        <v/>
      </c>
      <c r="G19" s="19">
        <f t="shared" ca="1" si="3"/>
        <v>5.2237972362666814E-2</v>
      </c>
      <c r="H19" s="20">
        <f ca="1">D19/MAX(D19:D33)</f>
        <v>0.53337170337675344</v>
      </c>
      <c r="I19" s="19">
        <f t="shared" ca="1" si="7"/>
        <v>6.8676522317731932</v>
      </c>
      <c r="J19" s="21"/>
    </row>
    <row r="20" spans="1:10">
      <c r="A20" s="17">
        <f t="shared" ca="1" si="0"/>
        <v>17</v>
      </c>
      <c r="B20" s="18">
        <f t="shared" ca="1" si="1"/>
        <v>4.2</v>
      </c>
      <c r="C20" s="18">
        <f t="shared" ca="1" si="2"/>
        <v>3.3</v>
      </c>
      <c r="D20" s="19">
        <f t="shared" ca="1" si="4"/>
        <v>72.028966652573601</v>
      </c>
      <c r="E20" s="18">
        <f t="shared" ca="1" si="5"/>
        <v>97.577045586699128</v>
      </c>
      <c r="F20" s="68" t="str">
        <f t="shared" ca="1" si="6"/>
        <v/>
      </c>
      <c r="G20" s="19">
        <f t="shared" ca="1" si="3"/>
        <v>5.3080502185156531E-2</v>
      </c>
      <c r="H20" s="20">
        <f ca="1">D20/MAX(D20:D33)</f>
        <v>0.56671227509387112</v>
      </c>
      <c r="I20" s="19">
        <f t="shared" ca="1" si="7"/>
        <v>7.3538979929899178</v>
      </c>
    </row>
    <row r="21" spans="1:10">
      <c r="A21" s="17">
        <f t="shared" ca="1" si="0"/>
        <v>18</v>
      </c>
      <c r="B21" s="18">
        <f t="shared" ca="1" si="1"/>
        <v>3.9</v>
      </c>
      <c r="C21" s="18">
        <f t="shared" ca="1" si="2"/>
        <v>3.1</v>
      </c>
      <c r="D21" s="19">
        <f t="shared" ca="1" si="4"/>
        <v>76.266543698160305</v>
      </c>
      <c r="E21" s="18">
        <f t="shared" ca="1" si="5"/>
        <v>97.577045586699128</v>
      </c>
      <c r="F21" s="68" t="str">
        <f t="shared" ca="1" si="6"/>
        <v>7G</v>
      </c>
      <c r="G21" s="19">
        <f t="shared" ca="1" si="3"/>
        <v>5.4806547696560716E-2</v>
      </c>
      <c r="H21" s="20">
        <f ca="1">D21/MAX(D21:D33)</f>
        <v>0.6000528468109888</v>
      </c>
      <c r="I21" s="19">
        <f t="shared" ca="1" si="7"/>
        <v>7.137199265960537</v>
      </c>
    </row>
    <row r="22" spans="1:10">
      <c r="A22" s="17">
        <f t="shared" ca="1" si="0"/>
        <v>19</v>
      </c>
      <c r="B22" s="18">
        <f t="shared" ca="1" si="1"/>
        <v>3.1</v>
      </c>
      <c r="C22" s="18">
        <f t="shared" ca="1" si="2"/>
        <v>2.2999999999999998</v>
      </c>
      <c r="D22" s="19">
        <f t="shared" ca="1" si="4"/>
        <v>80.504120743747009</v>
      </c>
      <c r="E22" s="18">
        <f t="shared" ca="1" si="5"/>
        <v>97.577045586699128</v>
      </c>
      <c r="F22" s="68" t="str">
        <f t="shared" ca="1" si="6"/>
        <v/>
      </c>
      <c r="G22" s="19">
        <f t="shared" ca="1" si="3"/>
        <v>6.2290546351985734E-2</v>
      </c>
      <c r="H22" s="20">
        <f ca="1">D22/MAX(D22:D33)</f>
        <v>0.63339341852810638</v>
      </c>
      <c r="I22" s="19">
        <f t="shared" ca="1" si="7"/>
        <v>5.9499525252079311</v>
      </c>
    </row>
    <row r="23" spans="1:10">
      <c r="A23" s="17">
        <f t="shared" ca="1" si="0"/>
        <v>20</v>
      </c>
      <c r="B23" s="18">
        <f t="shared" ca="1" si="1"/>
        <v>2.2999999999999998</v>
      </c>
      <c r="C23" s="18">
        <f t="shared" ca="1" si="2"/>
        <v>1.8</v>
      </c>
      <c r="D23" s="19">
        <f t="shared" ca="1" si="4"/>
        <v>84.741688054721038</v>
      </c>
      <c r="E23" s="18">
        <f t="shared" ca="1" si="5"/>
        <v>97.567310974032054</v>
      </c>
      <c r="F23" s="68" t="str">
        <f t="shared" ca="1" si="6"/>
        <v>8G</v>
      </c>
      <c r="G23" s="19">
        <f t="shared" ca="1" si="3"/>
        <v>6.7478543301513705E-2</v>
      </c>
      <c r="H23" s="20">
        <f ca="1">D23/MAX(D23:D33)</f>
        <v>0.6667339136548639</v>
      </c>
      <c r="I23" s="19">
        <f t="shared" ca="1" si="7"/>
        <v>5.1114606594100396</v>
      </c>
    </row>
    <row r="24" spans="1:10">
      <c r="A24" s="17">
        <f t="shared" ca="1" si="0"/>
        <v>21</v>
      </c>
      <c r="B24" s="18">
        <f t="shared" ca="1" si="1"/>
        <v>1.8</v>
      </c>
      <c r="C24" s="18">
        <f t="shared" ca="1" si="2"/>
        <v>1.6</v>
      </c>
      <c r="D24" s="19">
        <f t="shared" ca="1" si="4"/>
        <v>88.979255365695067</v>
      </c>
      <c r="E24" s="18">
        <f t="shared" ca="1" si="5"/>
        <v>97.567310974032054</v>
      </c>
      <c r="F24" s="68" t="str">
        <f t="shared" ca="1" si="6"/>
        <v/>
      </c>
      <c r="G24" s="19">
        <f t="shared" ca="1" si="3"/>
        <v>6.9672777191302354E-2</v>
      </c>
      <c r="H24" s="20">
        <f ca="1">D24/MAX(D24:D34)</f>
        <v>0.70007440878162142</v>
      </c>
      <c r="I24" s="19">
        <f t="shared" ca="1" si="7"/>
        <v>4.6699970512642626</v>
      </c>
    </row>
    <row r="25" spans="1:10">
      <c r="A25" s="17">
        <f t="shared" ca="1" si="0"/>
        <v>22</v>
      </c>
      <c r="B25" s="18">
        <f t="shared" ca="1" si="1"/>
        <v>1.6</v>
      </c>
      <c r="C25" s="18">
        <f t="shared" ca="1" si="2"/>
        <v>1.3</v>
      </c>
      <c r="D25" s="19">
        <f t="shared" ca="1" si="4"/>
        <v>93.216822676669096</v>
      </c>
      <c r="E25" s="18">
        <f t="shared" ca="1" si="5"/>
        <v>97.567310974032054</v>
      </c>
      <c r="F25" s="68" t="str">
        <f t="shared" ca="1" si="6"/>
        <v/>
      </c>
      <c r="G25" s="19">
        <f t="shared" ca="1" si="3"/>
        <v>7.3098633304074498E-2</v>
      </c>
      <c r="H25" s="20">
        <f ca="1">D25/MAX(D25:D35)</f>
        <v>0.73341490390837893</v>
      </c>
      <c r="I25" s="19">
        <f t="shared" ca="1" si="7"/>
        <v>3.8693472581677137</v>
      </c>
    </row>
    <row r="26" spans="1:10">
      <c r="A26" s="17">
        <f t="shared" ca="1" si="0"/>
        <v>23</v>
      </c>
      <c r="B26" s="18">
        <f t="shared" ca="1" si="1"/>
        <v>1.3</v>
      </c>
      <c r="C26" s="18">
        <f t="shared" ca="1" si="2"/>
        <v>1</v>
      </c>
      <c r="D26" s="19">
        <f t="shared" ca="1" si="4"/>
        <v>97.454389987643125</v>
      </c>
      <c r="E26" s="18">
        <f t="shared" ca="1" si="5"/>
        <v>97.567310974032054</v>
      </c>
      <c r="F26" s="68" t="str">
        <f t="shared" ca="1" si="6"/>
        <v/>
      </c>
      <c r="G26" s="19">
        <f t="shared" ca="1" si="3"/>
        <v>7.6692941006959017E-2</v>
      </c>
      <c r="H26" s="20">
        <f ca="1">D26/MAX(D26:D36)</f>
        <v>0.76675539903513645</v>
      </c>
      <c r="I26" s="19">
        <f t="shared" ca="1" si="7"/>
        <v>3.2157015374306939</v>
      </c>
    </row>
    <row r="27" spans="1:10">
      <c r="A27" s="17">
        <f t="shared" ca="1" si="0"/>
        <v>24</v>
      </c>
      <c r="B27" s="18">
        <f t="shared" ca="1" si="1"/>
        <v>1.1000000000000001</v>
      </c>
      <c r="C27" s="18">
        <f t="shared" ca="1" si="2"/>
        <v>0.7</v>
      </c>
      <c r="D27" s="19">
        <f t="shared" ca="1" si="4"/>
        <v>101.69021698263978</v>
      </c>
      <c r="E27" s="18">
        <f t="shared" ca="1" si="5"/>
        <v>95.826994996652175</v>
      </c>
      <c r="F27" s="68" t="str">
        <f t="shared" ca="1" si="6"/>
        <v>9G</v>
      </c>
      <c r="G27" s="19">
        <f t="shared" ca="1" si="3"/>
        <v>8.0463983175032144E-2</v>
      </c>
      <c r="H27" s="20">
        <f ca="1">D27/MAX(D27:D37)</f>
        <v>0.80008220163688981</v>
      </c>
      <c r="I27" s="19">
        <f t="shared" ca="1" si="7"/>
        <v>2.4595142184613112</v>
      </c>
    </row>
    <row r="28" spans="1:10">
      <c r="A28" s="17">
        <f t="shared" ca="1" si="0"/>
        <v>25</v>
      </c>
      <c r="B28" s="18">
        <f t="shared" ca="1" si="1"/>
        <v>0.8</v>
      </c>
      <c r="C28" s="18">
        <f t="shared" ca="1" si="2"/>
        <v>0.6</v>
      </c>
      <c r="D28" s="19">
        <f t="shared" ca="1" si="4"/>
        <v>105.92604397763644</v>
      </c>
      <c r="E28" s="18">
        <f t="shared" ca="1" si="5"/>
        <v>95.826994996652175</v>
      </c>
      <c r="F28" s="68" t="str">
        <f t="shared" ca="1" si="6"/>
        <v/>
      </c>
      <c r="G28" s="19">
        <f t="shared" ca="1" si="3"/>
        <v>8.1761761446183551E-2</v>
      </c>
      <c r="H28" s="20">
        <f ca="1">D28/MAX(D28:D38)</f>
        <v>0.83340900423864306</v>
      </c>
      <c r="I28" s="19">
        <f t="shared" ca="1" si="7"/>
        <v>2.2985313524751332</v>
      </c>
    </row>
    <row r="29" spans="1:10">
      <c r="A29" s="17">
        <f t="shared" ca="1" si="0"/>
        <v>26</v>
      </c>
      <c r="B29" s="18">
        <f t="shared" ca="1" si="1"/>
        <v>0.6</v>
      </c>
      <c r="C29" s="18">
        <f t="shared" ca="1" si="2"/>
        <v>0.4</v>
      </c>
      <c r="D29" s="19">
        <f t="shared" ca="1" si="4"/>
        <v>110.1618709726331</v>
      </c>
      <c r="E29" s="18">
        <f t="shared" ca="1" si="5"/>
        <v>95.826994996652175</v>
      </c>
      <c r="F29" s="68" t="str">
        <f t="shared" ca="1" si="6"/>
        <v/>
      </c>
      <c r="G29" s="19">
        <f t="shared" ca="1" si="3"/>
        <v>8.4420449957765653E-2</v>
      </c>
      <c r="H29" s="20">
        <f ca="1">D29/MAX(D29:D39)</f>
        <v>0.86673580684039631</v>
      </c>
      <c r="I29" s="19">
        <f t="shared" ca="1" si="7"/>
        <v>1.7052972699817548</v>
      </c>
    </row>
    <row r="30" spans="1:10">
      <c r="A30" s="17">
        <f t="shared" ca="1" si="0"/>
        <v>27</v>
      </c>
      <c r="B30" s="18">
        <f t="shared" ca="1" si="1"/>
        <v>0.5</v>
      </c>
      <c r="C30" s="18">
        <f t="shared" ca="1" si="2"/>
        <v>0.2</v>
      </c>
      <c r="D30" s="19">
        <f t="shared" ca="1" si="4"/>
        <v>114.39621927407015</v>
      </c>
      <c r="E30" s="18">
        <f t="shared" ca="1" si="5"/>
        <v>94.348301437056136</v>
      </c>
      <c r="F30" s="68" t="str">
        <f t="shared" ca="1" si="6"/>
        <v>10G</v>
      </c>
      <c r="G30" s="19">
        <f t="shared" ca="1" si="3"/>
        <v>8.7165592387127774E-2</v>
      </c>
      <c r="H30" s="20">
        <f ca="1">D30/MAX(D30:D40)</f>
        <v>0.90005097532006972</v>
      </c>
      <c r="I30" s="19">
        <f t="shared" ca="1" si="7"/>
        <v>1.155644907246836</v>
      </c>
    </row>
    <row r="31" spans="1:10">
      <c r="A31" s="17">
        <f t="shared" ca="1" si="0"/>
        <v>28</v>
      </c>
      <c r="B31" s="18">
        <f t="shared" ca="1" si="1"/>
        <v>0.2</v>
      </c>
      <c r="C31" s="18">
        <f t="shared" ca="1" si="2"/>
        <v>0.1</v>
      </c>
      <c r="D31" s="19">
        <f t="shared" ca="1" si="4"/>
        <v>118.6305675755072</v>
      </c>
      <c r="E31" s="18">
        <f t="shared" ca="1" si="5"/>
        <v>94.348301437056136</v>
      </c>
      <c r="F31" s="68" t="str">
        <f t="shared" ca="1" si="6"/>
        <v/>
      </c>
      <c r="G31" s="19">
        <f t="shared" ca="1" si="3"/>
        <v>8.8571458804975661E-2</v>
      </c>
      <c r="H31" s="20">
        <f ca="1">D31/MAX(D31:D41)</f>
        <v>0.93336614379974303</v>
      </c>
      <c r="I31" s="19">
        <f t="shared" ca="1" si="7"/>
        <v>0.89937903439001099</v>
      </c>
    </row>
    <row r="32" spans="1:10">
      <c r="A32" s="17">
        <f t="shared" ca="1" si="0"/>
        <v>29</v>
      </c>
      <c r="B32" s="18">
        <f t="shared" ca="1" si="1"/>
        <v>0.1</v>
      </c>
      <c r="C32" s="18">
        <f t="shared" ca="1" si="2"/>
        <v>0</v>
      </c>
      <c r="D32" s="19">
        <f t="shared" ca="1" si="4"/>
        <v>122.86491587694425</v>
      </c>
      <c r="E32" s="18">
        <f t="shared" ca="1" si="5"/>
        <v>94.348301437056136</v>
      </c>
      <c r="F32" s="68" t="str">
        <f t="shared" ca="1" si="6"/>
        <v/>
      </c>
      <c r="G32" s="19">
        <f t="shared" ca="1" si="3"/>
        <v>0.09</v>
      </c>
      <c r="H32" s="20">
        <f ca="1">D32/MAX(D32:D42)</f>
        <v>0.96668131227941634</v>
      </c>
      <c r="I32" s="19">
        <f t="shared" ca="1" si="7"/>
        <v>0.45425184442878452</v>
      </c>
    </row>
    <row r="33" spans="1:9">
      <c r="A33" s="17">
        <f t="shared" ca="1" si="0"/>
        <v>30</v>
      </c>
      <c r="B33" s="18">
        <f t="shared" ca="1" si="1"/>
        <v>0</v>
      </c>
      <c r="C33" s="18">
        <f t="shared" ca="1" si="2"/>
        <v>0</v>
      </c>
      <c r="D33" s="19">
        <f t="shared" ca="1" si="4"/>
        <v>127.09971147288562</v>
      </c>
      <c r="E33" s="18">
        <f t="shared" ca="1" si="5"/>
        <v>94.795595941357718</v>
      </c>
      <c r="F33" s="68" t="str">
        <f t="shared" ca="1" si="6"/>
        <v>11G</v>
      </c>
      <c r="G33" s="19">
        <f t="shared" ca="1" si="3"/>
        <v>0.09</v>
      </c>
      <c r="H33" s="20">
        <f ca="1">D33/MAX(D33:D43)</f>
        <v>1</v>
      </c>
      <c r="I33" s="19">
        <f t="shared" ca="1" si="7"/>
        <v>0.45956297680794811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8" sqref="N18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BBAFDBE0-F1C4-445A-B8C5-6F340E75D003}"/>
</file>

<file path=customXml/itemProps2.xml><?xml version="1.0" encoding="utf-8"?>
<ds:datastoreItem xmlns:ds="http://schemas.openxmlformats.org/officeDocument/2006/customXml" ds:itemID="{73FC9C86-6EE0-4070-B5DB-24D127EBBADF}"/>
</file>

<file path=customXml/itemProps3.xml><?xml version="1.0" encoding="utf-8"?>
<ds:datastoreItem xmlns:ds="http://schemas.openxmlformats.org/officeDocument/2006/customXml" ds:itemID="{A93E5651-7938-4BA7-9011-67234BFD3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UT-GOM2-1-H005-10FB-2</vt:lpstr>
      <vt:lpstr>UT-GOM2-1-H005-10FB-2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