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2400" yWindow="540" windowWidth="42240" windowHeight="23440" tabRatio="623" activeTab="2"/>
  </bookViews>
  <sheets>
    <sheet name="UT-GOM2-1-H005-9FB-2" sheetId="27" r:id="rId1"/>
    <sheet name="UT-GOM2-1-H005-9FB-2 table" sheetId="30" r:id="rId2"/>
    <sheet name="graph" sheetId="31" r:id="rId3"/>
  </sheets>
  <definedNames>
    <definedName name="_xlnm.Print_Area" localSheetId="0">'UT-GOM2-1-H005-9FB-2'!#REF!</definedName>
    <definedName name="_xlnm.Print_Area" localSheetId="1">'UT-GOM2-1-H005-9FB-2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6" i="27" l="1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I4" i="30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B4" i="30"/>
  <c r="C4" i="30"/>
  <c r="D4" i="30"/>
  <c r="E4" i="30"/>
  <c r="F4" i="30"/>
  <c r="G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H4" i="30"/>
  <c r="B5" i="30"/>
  <c r="C5" i="30"/>
  <c r="E5" i="30"/>
  <c r="F5" i="30"/>
  <c r="G5" i="30"/>
  <c r="D27" i="30"/>
  <c r="H5" i="30"/>
  <c r="B6" i="30"/>
  <c r="C6" i="30"/>
  <c r="E6" i="30"/>
  <c r="F6" i="30"/>
  <c r="G6" i="30"/>
  <c r="D28" i="30"/>
  <c r="H6" i="30"/>
  <c r="B7" i="30"/>
  <c r="C7" i="30"/>
  <c r="E7" i="30"/>
  <c r="F7" i="30"/>
  <c r="G7" i="30"/>
  <c r="D29" i="30"/>
  <c r="H7" i="30"/>
  <c r="B8" i="30"/>
  <c r="C8" i="30"/>
  <c r="E8" i="30"/>
  <c r="F8" i="30"/>
  <c r="G8" i="30"/>
  <c r="H8" i="30"/>
  <c r="B9" i="30"/>
  <c r="C9" i="30"/>
  <c r="E9" i="30"/>
  <c r="F9" i="30"/>
  <c r="G9" i="30"/>
  <c r="H9" i="30"/>
  <c r="B10" i="30"/>
  <c r="C10" i="30"/>
  <c r="E10" i="30"/>
  <c r="F10" i="30"/>
  <c r="G10" i="30"/>
  <c r="H10" i="30"/>
  <c r="B11" i="30"/>
  <c r="C11" i="30"/>
  <c r="E11" i="30"/>
  <c r="F11" i="30"/>
  <c r="G11" i="30"/>
  <c r="H11" i="30"/>
  <c r="B12" i="30"/>
  <c r="C12" i="30"/>
  <c r="E12" i="30"/>
  <c r="F12" i="30"/>
  <c r="G12" i="30"/>
  <c r="D30" i="30"/>
  <c r="H12" i="30"/>
  <c r="B13" i="30"/>
  <c r="C13" i="30"/>
  <c r="E13" i="30"/>
  <c r="F13" i="30"/>
  <c r="G13" i="30"/>
  <c r="D31" i="30"/>
  <c r="H13" i="30"/>
  <c r="B14" i="30"/>
  <c r="C14" i="30"/>
  <c r="E14" i="30"/>
  <c r="F14" i="30"/>
  <c r="G14" i="30"/>
  <c r="D32" i="30"/>
  <c r="H14" i="30"/>
  <c r="B15" i="30"/>
  <c r="C15" i="30"/>
  <c r="E15" i="30"/>
  <c r="F15" i="30"/>
  <c r="G15" i="30"/>
  <c r="D33" i="30"/>
  <c r="H15" i="30"/>
  <c r="B16" i="30"/>
  <c r="C16" i="30"/>
  <c r="E16" i="30"/>
  <c r="F16" i="30"/>
  <c r="G16" i="30"/>
  <c r="D34" i="30"/>
  <c r="H16" i="30"/>
  <c r="B17" i="30"/>
  <c r="C17" i="30"/>
  <c r="E17" i="30"/>
  <c r="F17" i="30"/>
  <c r="G17" i="30"/>
  <c r="D35" i="30"/>
  <c r="H17" i="30"/>
  <c r="B18" i="30"/>
  <c r="C18" i="30"/>
  <c r="E18" i="30"/>
  <c r="F18" i="30"/>
  <c r="G18" i="30"/>
  <c r="D36" i="30"/>
  <c r="H18" i="30"/>
  <c r="B19" i="30"/>
  <c r="C19" i="30"/>
  <c r="E19" i="30"/>
  <c r="F19" i="30"/>
  <c r="G19" i="30"/>
  <c r="D37" i="30"/>
  <c r="H19" i="30"/>
  <c r="B20" i="30"/>
  <c r="C20" i="30"/>
  <c r="E20" i="30"/>
  <c r="F20" i="30"/>
  <c r="G20" i="30"/>
  <c r="D38" i="30"/>
  <c r="H20" i="30"/>
  <c r="B21" i="30"/>
  <c r="C21" i="30"/>
  <c r="E21" i="30"/>
  <c r="F21" i="30"/>
  <c r="G21" i="30"/>
  <c r="H21" i="30"/>
  <c r="B22" i="30"/>
  <c r="C22" i="30"/>
  <c r="E22" i="30"/>
  <c r="F22" i="30"/>
  <c r="G22" i="30"/>
  <c r="H22" i="30"/>
  <c r="B23" i="30"/>
  <c r="C23" i="30"/>
  <c r="E23" i="30"/>
  <c r="F23" i="30"/>
  <c r="G23" i="30"/>
  <c r="H23" i="30"/>
  <c r="B24" i="30"/>
  <c r="C24" i="30"/>
  <c r="E24" i="30"/>
  <c r="F24" i="30"/>
  <c r="G24" i="30"/>
  <c r="H24" i="30"/>
  <c r="B25" i="30"/>
  <c r="C25" i="30"/>
  <c r="E25" i="30"/>
  <c r="F25" i="30"/>
  <c r="G25" i="30"/>
  <c r="H25" i="30"/>
  <c r="B26" i="30"/>
  <c r="C26" i="30"/>
  <c r="E26" i="30"/>
  <c r="F26" i="30"/>
  <c r="G26" i="30"/>
  <c r="H26" i="30"/>
  <c r="B27" i="30"/>
  <c r="C27" i="30"/>
  <c r="E27" i="30"/>
  <c r="F27" i="30"/>
  <c r="G27" i="30"/>
  <c r="H27" i="30"/>
  <c r="B28" i="30"/>
  <c r="C28" i="30"/>
  <c r="E28" i="30"/>
  <c r="F28" i="30"/>
  <c r="G28" i="30"/>
  <c r="H28" i="30"/>
  <c r="B29" i="30"/>
  <c r="C29" i="30"/>
  <c r="E29" i="30"/>
  <c r="F29" i="30"/>
  <c r="G29" i="30"/>
  <c r="H29" i="30"/>
  <c r="B30" i="30"/>
  <c r="C30" i="30"/>
  <c r="E30" i="30"/>
  <c r="F30" i="30"/>
  <c r="G30" i="30"/>
  <c r="H30" i="30"/>
  <c r="B31" i="30"/>
  <c r="C31" i="30"/>
  <c r="E31" i="30"/>
  <c r="F31" i="30"/>
  <c r="G31" i="30"/>
  <c r="H31" i="30"/>
  <c r="B32" i="30"/>
  <c r="C32" i="30"/>
  <c r="E32" i="30"/>
  <c r="F32" i="30"/>
  <c r="G32" i="30"/>
  <c r="H32" i="30"/>
  <c r="B33" i="30"/>
  <c r="C33" i="30"/>
  <c r="E33" i="30"/>
  <c r="F33" i="30"/>
  <c r="G33" i="30"/>
  <c r="H33" i="30"/>
  <c r="B34" i="30"/>
  <c r="C34" i="30"/>
  <c r="E34" i="30"/>
  <c r="F34" i="30"/>
  <c r="G34" i="30"/>
  <c r="H34" i="30"/>
  <c r="B35" i="30"/>
  <c r="C35" i="30"/>
  <c r="E35" i="30"/>
  <c r="F35" i="30"/>
  <c r="G35" i="30"/>
  <c r="H35" i="30"/>
  <c r="B36" i="30"/>
  <c r="C36" i="30"/>
  <c r="E36" i="30"/>
  <c r="F36" i="30"/>
  <c r="G36" i="30"/>
  <c r="H36" i="30"/>
  <c r="B37" i="30"/>
  <c r="C37" i="30"/>
  <c r="E37" i="30"/>
  <c r="F37" i="30"/>
  <c r="G37" i="30"/>
  <c r="H37" i="30"/>
  <c r="B38" i="30"/>
  <c r="C38" i="30"/>
  <c r="E38" i="30"/>
  <c r="F38" i="30"/>
  <c r="G38" i="30"/>
  <c r="H38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4" i="30"/>
  <c r="T38" i="27"/>
  <c r="T39" i="27"/>
  <c r="T40" i="27"/>
  <c r="T35" i="27"/>
  <c r="T36" i="27"/>
  <c r="T33" i="27"/>
  <c r="T30" i="27"/>
  <c r="T31" i="27"/>
  <c r="T27" i="27"/>
  <c r="T28" i="27"/>
  <c r="T25" i="27"/>
  <c r="T20" i="27"/>
  <c r="T21" i="27"/>
  <c r="T22" i="27"/>
  <c r="T23" i="27"/>
  <c r="T17" i="27"/>
  <c r="T12" i="27"/>
  <c r="T13" i="27"/>
  <c r="T14" i="27"/>
  <c r="T15" i="27"/>
  <c r="T10" i="27"/>
  <c r="T9" i="27"/>
  <c r="T8" i="27"/>
  <c r="T7" i="27"/>
  <c r="T6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R10" i="27"/>
  <c r="R9" i="27"/>
  <c r="R8" i="27"/>
  <c r="R7" i="27"/>
  <c r="R6" i="27"/>
  <c r="K31" i="27"/>
  <c r="K30" i="27"/>
  <c r="K28" i="27"/>
  <c r="K27" i="27"/>
  <c r="K22" i="27"/>
  <c r="K21" i="27"/>
  <c r="O28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P28" i="27"/>
  <c r="Q28" i="27"/>
  <c r="N2" i="27"/>
  <c r="S28" i="27"/>
  <c r="U28" i="27"/>
  <c r="S6" i="27"/>
  <c r="Q6" i="27"/>
  <c r="U6" i="27"/>
  <c r="V6" i="27"/>
  <c r="S7" i="27"/>
  <c r="Q7" i="27"/>
  <c r="U7" i="27"/>
  <c r="V7" i="27"/>
  <c r="S8" i="27"/>
  <c r="Q8" i="27"/>
  <c r="U8" i="27"/>
  <c r="V8" i="27"/>
  <c r="S9" i="27"/>
  <c r="Q9" i="27"/>
  <c r="U9" i="27"/>
  <c r="V9" i="27"/>
  <c r="S10" i="27"/>
  <c r="Q10" i="27"/>
  <c r="U10" i="27"/>
  <c r="V10" i="27"/>
  <c r="S11" i="27"/>
  <c r="Q11" i="27"/>
  <c r="U11" i="27"/>
  <c r="V11" i="27"/>
  <c r="S12" i="27"/>
  <c r="Q12" i="27"/>
  <c r="U12" i="27"/>
  <c r="V12" i="27"/>
  <c r="S13" i="27"/>
  <c r="Q13" i="27"/>
  <c r="U13" i="27"/>
  <c r="V13" i="27"/>
  <c r="S14" i="27"/>
  <c r="Q14" i="27"/>
  <c r="U14" i="27"/>
  <c r="V14" i="27"/>
  <c r="S15" i="27"/>
  <c r="Q15" i="27"/>
  <c r="U15" i="27"/>
  <c r="V15" i="27"/>
  <c r="S16" i="27"/>
  <c r="Q16" i="27"/>
  <c r="U16" i="27"/>
  <c r="V16" i="27"/>
  <c r="S17" i="27"/>
  <c r="Q17" i="27"/>
  <c r="U17" i="27"/>
  <c r="V17" i="27"/>
  <c r="S18" i="27"/>
  <c r="Q18" i="27"/>
  <c r="U18" i="27"/>
  <c r="V18" i="27"/>
  <c r="S19" i="27"/>
  <c r="Q19" i="27"/>
  <c r="U19" i="27"/>
  <c r="V19" i="27"/>
  <c r="S20" i="27"/>
  <c r="Q20" i="27"/>
  <c r="U20" i="27"/>
  <c r="V20" i="27"/>
  <c r="S21" i="27"/>
  <c r="Q21" i="27"/>
  <c r="U21" i="27"/>
  <c r="V21" i="27"/>
  <c r="S22" i="27"/>
  <c r="Q22" i="27"/>
  <c r="U22" i="27"/>
  <c r="V22" i="27"/>
  <c r="S23" i="27"/>
  <c r="Q23" i="27"/>
  <c r="U23" i="27"/>
  <c r="V23" i="27"/>
  <c r="S24" i="27"/>
  <c r="Q24" i="27"/>
  <c r="U24" i="27"/>
  <c r="V24" i="27"/>
  <c r="S25" i="27"/>
  <c r="Q25" i="27"/>
  <c r="U25" i="27"/>
  <c r="V25" i="27"/>
  <c r="S26" i="27"/>
  <c r="Q26" i="27"/>
  <c r="U26" i="27"/>
  <c r="V26" i="27"/>
  <c r="S27" i="27"/>
  <c r="Q27" i="27"/>
  <c r="U27" i="27"/>
  <c r="V27" i="27"/>
  <c r="V28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X2" i="27"/>
  <c r="X28" i="27"/>
  <c r="X27" i="27"/>
  <c r="Z28" i="27"/>
  <c r="AB28" i="27"/>
  <c r="O29" i="27"/>
  <c r="P29" i="27"/>
  <c r="Q29" i="27"/>
  <c r="S29" i="27"/>
  <c r="U29" i="27"/>
  <c r="V29" i="27"/>
  <c r="W29" i="27"/>
  <c r="X29" i="27"/>
  <c r="Z29" i="27"/>
  <c r="AB29" i="27"/>
  <c r="O30" i="27"/>
  <c r="P30" i="27"/>
  <c r="Q30" i="27"/>
  <c r="S30" i="27"/>
  <c r="U30" i="27"/>
  <c r="V30" i="27"/>
  <c r="W30" i="27"/>
  <c r="X30" i="27"/>
  <c r="Z30" i="27"/>
  <c r="AB30" i="27"/>
  <c r="O31" i="27"/>
  <c r="P31" i="27"/>
  <c r="Q31" i="27"/>
  <c r="S31" i="27"/>
  <c r="U31" i="27"/>
  <c r="V31" i="27"/>
  <c r="W31" i="27"/>
  <c r="X31" i="27"/>
  <c r="Z31" i="27"/>
  <c r="AB31" i="27"/>
  <c r="O32" i="27"/>
  <c r="P32" i="27"/>
  <c r="Q32" i="27"/>
  <c r="S32" i="27"/>
  <c r="U32" i="27"/>
  <c r="V32" i="27"/>
  <c r="W32" i="27"/>
  <c r="X32" i="27"/>
  <c r="Z32" i="27"/>
  <c r="AB32" i="27"/>
  <c r="O33" i="27"/>
  <c r="P33" i="27"/>
  <c r="Q33" i="27"/>
  <c r="S33" i="27"/>
  <c r="U33" i="27"/>
  <c r="V33" i="27"/>
  <c r="W33" i="27"/>
  <c r="X33" i="27"/>
  <c r="Z33" i="27"/>
  <c r="AB33" i="27"/>
  <c r="O34" i="27"/>
  <c r="P34" i="27"/>
  <c r="Q34" i="27"/>
  <c r="S34" i="27"/>
  <c r="U34" i="27"/>
  <c r="V34" i="27"/>
  <c r="W34" i="27"/>
  <c r="X34" i="27"/>
  <c r="Z34" i="27"/>
  <c r="AB34" i="27"/>
  <c r="O35" i="27"/>
  <c r="P35" i="27"/>
  <c r="Q35" i="27"/>
  <c r="S35" i="27"/>
  <c r="U35" i="27"/>
  <c r="V35" i="27"/>
  <c r="W35" i="27"/>
  <c r="X35" i="27"/>
  <c r="Z35" i="27"/>
  <c r="AB35" i="27"/>
  <c r="O36" i="27"/>
  <c r="P36" i="27"/>
  <c r="Q36" i="27"/>
  <c r="S36" i="27"/>
  <c r="U36" i="27"/>
  <c r="V36" i="27"/>
  <c r="W36" i="27"/>
  <c r="X36" i="27"/>
  <c r="Z36" i="27"/>
  <c r="AB36" i="27"/>
  <c r="O37" i="27"/>
  <c r="P37" i="27"/>
  <c r="Q37" i="27"/>
  <c r="S37" i="27"/>
  <c r="U37" i="27"/>
  <c r="V37" i="27"/>
  <c r="W37" i="27"/>
  <c r="X37" i="27"/>
  <c r="Z37" i="27"/>
  <c r="AB37" i="27"/>
  <c r="O38" i="27"/>
  <c r="P38" i="27"/>
  <c r="Q38" i="27"/>
  <c r="S38" i="27"/>
  <c r="U38" i="27"/>
  <c r="V38" i="27"/>
  <c r="W38" i="27"/>
  <c r="X38" i="27"/>
  <c r="Z38" i="27"/>
  <c r="AB38" i="27"/>
  <c r="O39" i="27"/>
  <c r="P39" i="27"/>
  <c r="Q39" i="27"/>
  <c r="S39" i="27"/>
  <c r="U39" i="27"/>
  <c r="V39" i="27"/>
  <c r="W39" i="27"/>
  <c r="X39" i="27"/>
  <c r="Z39" i="27"/>
  <c r="AB39" i="27"/>
  <c r="O40" i="27"/>
  <c r="P40" i="27"/>
  <c r="Q40" i="27"/>
  <c r="S40" i="27"/>
  <c r="U40" i="27"/>
  <c r="V40" i="27"/>
  <c r="W40" i="27"/>
  <c r="X40" i="27"/>
  <c r="Z40" i="27"/>
  <c r="AB4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X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25" i="27"/>
  <c r="X2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6" i="27"/>
  <c r="Z21" i="27"/>
  <c r="Z22" i="27"/>
  <c r="Z23" i="27"/>
  <c r="Z24" i="27"/>
  <c r="Z25" i="27"/>
  <c r="Z26" i="27"/>
  <c r="Z27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</calcChain>
</file>

<file path=xl/sharedStrings.xml><?xml version="1.0" encoding="utf-8"?>
<sst xmlns="http://schemas.openxmlformats.org/spreadsheetml/2006/main" count="80" uniqueCount="66">
  <si>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</si>
  <si>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</si>
  <si>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</si>
  <si>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</si>
  <si>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</si>
  <si>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</si>
  <si>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</si>
  <si>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</si>
  <si>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</si>
  <si>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</si>
  <si>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</si>
  <si>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</si>
  <si>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</si>
  <si>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</si>
  <si>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</si>
  <si>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</si>
  <si>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</si>
  <si>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</si>
  <si>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</si>
  <si>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</si>
  <si>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</si>
  <si>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</si>
  <si>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</si>
  <si>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</si>
  <si>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</si>
  <si>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</si>
  <si>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</si>
  <si>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</si>
  <si>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</si>
  <si>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</si>
  <si>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</si>
  <si>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</si>
  <si>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</si>
  <si>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</si>
  <si>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</si>
  <si>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</si>
  <si>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</si>
  <si>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</si>
  <si>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</si>
  <si>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</si>
  <si>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</si>
  <si>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</si>
  <si>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</si>
  <si>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</si>
  <si>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</si>
  <si>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</si>
  <si>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</si>
  <si>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</si>
  <si>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Green</t>
  </si>
  <si>
    <t>for plot</t>
  </si>
  <si>
    <t>End P
(MPa)</t>
  </si>
  <si>
    <t>START</t>
  </si>
  <si>
    <t>UT-GOM2-1-H005-9FB-2</t>
  </si>
  <si>
    <t>UT-GOM2-1-H005-9FB-2 / 120-042</t>
  </si>
  <si>
    <t>11G</t>
  </si>
  <si>
    <t>12G</t>
  </si>
  <si>
    <t>Cu tube 14</t>
  </si>
  <si>
    <t>13G</t>
  </si>
  <si>
    <t>14G</t>
  </si>
  <si>
    <t>15G</t>
  </si>
  <si>
    <t>16G</t>
  </si>
  <si>
    <t>17G</t>
  </si>
  <si>
    <t>18G</t>
  </si>
  <si>
    <t>19G</t>
  </si>
  <si>
    <t>Cu tube 16</t>
  </si>
  <si>
    <t>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</si>
</sst>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9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164" fontId="1" fillId="0" borderId="16" xfId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4" fontId="1" fillId="0" borderId="15" xfId="1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wrapText="1"/>
    </xf>
    <xf numFmtId="164" fontId="1" fillId="0" borderId="17" xfId="1" applyNumberFormat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1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20" fontId="6" fillId="0" borderId="49" xfId="0" applyNumberFormat="1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20" fontId="6" fillId="0" borderId="4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</cellXfs>
  <cellStyles count="10">
    <cellStyle name="Comma" xfId="1" builtinId="3"/>
    <cellStyle name="Followed Hyperlink" xfId="5" builtinId="9" hidden="1"/>
    <cellStyle name="Followed Hyperlink" xfId="7" builtinId="9" hidden="1"/>
    <cellStyle name="Followed Hyperlink" xfId="9" builtinId="9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'UT-GOM2-1-H005-9FB-2'!$Z$4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'UT-GOM2-1-H005-9FB-2'!$Z$6:$Z$199</c:f>
              <c:numCache>
                <c:formatCode>0.00</c:formatCode>
                <c:ptCount val="194"/>
                <c:pt idx="0">
                  <c:v>0.0</c:v>
                </c:pt>
                <c:pt idx="1">
                  <c:v>4.681037438928335</c:v>
                </c:pt>
                <c:pt idx="2">
                  <c:v>13.74530149037541</c:v>
                </c:pt>
                <c:pt idx="3">
                  <c:v>20.03249999841571</c:v>
                </c:pt>
                <c:pt idx="4">
                  <c:v>21.9183258041105</c:v>
                </c:pt>
                <c:pt idx="5">
                  <c:v>23.74342900670336</c:v>
                </c:pt>
                <c:pt idx="6">
                  <c:v>23.64522142564458</c:v>
                </c:pt>
                <c:pt idx="7">
                  <c:v>22.42760620559977</c:v>
                </c:pt>
                <c:pt idx="8">
                  <c:v>14.27976645514178</c:v>
                </c:pt>
                <c:pt idx="9">
                  <c:v>17.88562861260776</c:v>
                </c:pt>
                <c:pt idx="10">
                  <c:v>23.22798672584651</c:v>
                </c:pt>
                <c:pt idx="11">
                  <c:v>21.12422786324252</c:v>
                </c:pt>
                <c:pt idx="12">
                  <c:v>25.7153064581139</c:v>
                </c:pt>
                <c:pt idx="13">
                  <c:v>30.26785445277195</c:v>
                </c:pt>
                <c:pt idx="14">
                  <c:v>32.89986660493349</c:v>
                </c:pt>
                <c:pt idx="15">
                  <c:v>37.09393942482451</c:v>
                </c:pt>
                <c:pt idx="16">
                  <c:v>45.66036761184181</c:v>
                </c:pt>
                <c:pt idx="17">
                  <c:v>58.46684656116108</c:v>
                </c:pt>
                <c:pt idx="18">
                  <c:v>60.78557585744019</c:v>
                </c:pt>
                <c:pt idx="19">
                  <c:v>73.70601882395547</c:v>
                </c:pt>
                <c:pt idx="20">
                  <c:v>75.77792656446343</c:v>
                </c:pt>
                <c:pt idx="21">
                  <c:v>83.98315375626346</c:v>
                </c:pt>
                <c:pt idx="22">
                  <c:v>93.00258475675273</c:v>
                </c:pt>
                <c:pt idx="23">
                  <c:v>93.65654337624552</c:v>
                </c:pt>
                <c:pt idx="24">
                  <c:v>100.2773305742009</c:v>
                </c:pt>
                <c:pt idx="25">
                  <c:v>107.4461982633469</c:v>
                </c:pt>
                <c:pt idx="26">
                  <c:v>108.223197388803</c:v>
                </c:pt>
                <c:pt idx="27">
                  <c:v>115.8875587118202</c:v>
                </c:pt>
                <c:pt idx="28">
                  <c:v>117.2274899383906</c:v>
                </c:pt>
                <c:pt idx="29">
                  <c:v>117.7307746006093</c:v>
                </c:pt>
                <c:pt idx="30">
                  <c:v>118.7639083145826</c:v>
                </c:pt>
                <c:pt idx="31">
                  <c:v>119.1377432898455</c:v>
                </c:pt>
                <c:pt idx="32">
                  <c:v>119.7349441347547</c:v>
                </c:pt>
                <c:pt idx="33">
                  <c:v>120.8353458609111</c:v>
                </c:pt>
                <c:pt idx="34">
                  <c:v>120.7732457283004</c:v>
                </c:pt>
              </c:numCache>
            </c:numRef>
          </c:xVal>
          <c:yVal>
            <c:numRef>
              <c:f>'UT-GOM2-1-H005-9FB-2'!$AB$6:$AB$199</c:f>
              <c:numCache>
                <c:formatCode>0.0</c:formatCode>
                <c:ptCount val="194"/>
                <c:pt idx="0">
                  <c:v>18.9</c:v>
                </c:pt>
                <c:pt idx="1">
                  <c:v>17.0</c:v>
                </c:pt>
                <c:pt idx="2">
                  <c:v>14.0</c:v>
                </c:pt>
                <c:pt idx="3">
                  <c:v>12.5</c:v>
                </c:pt>
                <c:pt idx="4">
                  <c:v>11.5</c:v>
                </c:pt>
                <c:pt idx="5">
                  <c:v>10.8</c:v>
                </c:pt>
                <c:pt idx="6">
                  <c:v>10.0</c:v>
                </c:pt>
                <c:pt idx="7">
                  <c:v>9.0</c:v>
                </c:pt>
                <c:pt idx="8">
                  <c:v>5.6</c:v>
                </c:pt>
                <c:pt idx="9">
                  <c:v>6.4</c:v>
                </c:pt>
                <c:pt idx="10">
                  <c:v>7.2</c:v>
                </c:pt>
                <c:pt idx="11">
                  <c:v>5.6</c:v>
                </c:pt>
                <c:pt idx="12">
                  <c:v>6.2</c:v>
                </c:pt>
                <c:pt idx="13">
                  <c:v>7.0</c:v>
                </c:pt>
                <c:pt idx="14">
                  <c:v>7.3</c:v>
                </c:pt>
                <c:pt idx="15">
                  <c:v>7.1</c:v>
                </c:pt>
                <c:pt idx="16">
                  <c:v>5.9</c:v>
                </c:pt>
                <c:pt idx="17">
                  <c:v>5.0</c:v>
                </c:pt>
                <c:pt idx="18">
                  <c:v>5.0</c:v>
                </c:pt>
                <c:pt idx="19">
                  <c:v>4.3</c:v>
                </c:pt>
                <c:pt idx="20">
                  <c:v>4.3</c:v>
                </c:pt>
                <c:pt idx="21">
                  <c:v>3.2</c:v>
                </c:pt>
                <c:pt idx="22">
                  <c:v>4.2</c:v>
                </c:pt>
                <c:pt idx="23">
                  <c:v>4.0</c:v>
                </c:pt>
                <c:pt idx="24">
                  <c:v>2.8</c:v>
                </c:pt>
                <c:pt idx="25">
                  <c:v>3.3</c:v>
                </c:pt>
                <c:pt idx="26">
                  <c:v>3.1</c:v>
                </c:pt>
                <c:pt idx="27">
                  <c:v>1.0</c:v>
                </c:pt>
                <c:pt idx="28">
                  <c:v>0.9</c:v>
                </c:pt>
                <c:pt idx="29">
                  <c:v>0.7</c:v>
                </c:pt>
                <c:pt idx="30">
                  <c:v>0.6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'UT-GOM2-1-H005-9FB-2'!$U$4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'UT-GOM2-1-H005-9FB-2'!$V$6:$V$199</c:f>
              <c:numCache>
                <c:formatCode>0.00</c:formatCode>
                <c:ptCount val="194"/>
                <c:pt idx="0">
                  <c:v>0.0</c:v>
                </c:pt>
                <c:pt idx="1">
                  <c:v>0.0</c:v>
                </c:pt>
                <c:pt idx="2">
                  <c:v>0.0238233312473153</c:v>
                </c:pt>
                <c:pt idx="3">
                  <c:v>0.0524113287440936</c:v>
                </c:pt>
                <c:pt idx="4">
                  <c:v>0.0848110592404424</c:v>
                </c:pt>
                <c:pt idx="5">
                  <c:v>0.618453679180305</c:v>
                </c:pt>
                <c:pt idx="6">
                  <c:v>0.742335001666344</c:v>
                </c:pt>
                <c:pt idx="7">
                  <c:v>0.847157659154532</c:v>
                </c:pt>
                <c:pt idx="8">
                  <c:v>1.152096299120168</c:v>
                </c:pt>
                <c:pt idx="9">
                  <c:v>1.457034939085803</c:v>
                </c:pt>
                <c:pt idx="10">
                  <c:v>2.828702415517255</c:v>
                </c:pt>
                <c:pt idx="11">
                  <c:v>3.971758645876798</c:v>
                </c:pt>
                <c:pt idx="12">
                  <c:v>5.317289697318362</c:v>
                </c:pt>
                <c:pt idx="13">
                  <c:v>6.83459067022055</c:v>
                </c:pt>
                <c:pt idx="14">
                  <c:v>8.590460978484717</c:v>
                </c:pt>
                <c:pt idx="15">
                  <c:v>12.88366590094158</c:v>
                </c:pt>
                <c:pt idx="16">
                  <c:v>24.12195916346416</c:v>
                </c:pt>
                <c:pt idx="17">
                  <c:v>39.74022813427642</c:v>
                </c:pt>
                <c:pt idx="18">
                  <c:v>41.5045782283893</c:v>
                </c:pt>
                <c:pt idx="19">
                  <c:v>57.18785862330061</c:v>
                </c:pt>
                <c:pt idx="20">
                  <c:v>59.0105778717386</c:v>
                </c:pt>
                <c:pt idx="21">
                  <c:v>70.69454193280711</c:v>
                </c:pt>
                <c:pt idx="22">
                  <c:v>74.57924313943231</c:v>
                </c:pt>
                <c:pt idx="23">
                  <c:v>76.44207395972373</c:v>
                </c:pt>
                <c:pt idx="24">
                  <c:v>87.77794147634297</c:v>
                </c:pt>
                <c:pt idx="25">
                  <c:v>92.07123157413994</c:v>
                </c:pt>
                <c:pt idx="26">
                  <c:v>93.93525371652446</c:v>
                </c:pt>
                <c:pt idx="27">
                  <c:v>108.7845397617619</c:v>
                </c:pt>
                <c:pt idx="28">
                  <c:v>110.5873316775973</c:v>
                </c:pt>
                <c:pt idx="29">
                  <c:v>112.4284808682378</c:v>
                </c:pt>
                <c:pt idx="30">
                  <c:v>114.1162009596582</c:v>
                </c:pt>
                <c:pt idx="31">
                  <c:v>115.9957074251036</c:v>
                </c:pt>
                <c:pt idx="32">
                  <c:v>117.299854768474</c:v>
                </c:pt>
                <c:pt idx="33">
                  <c:v>119.0547000908031</c:v>
                </c:pt>
                <c:pt idx="34">
                  <c:v>119.8602028617083</c:v>
                </c:pt>
              </c:numCache>
            </c:numRef>
          </c:xVal>
          <c:yVal>
            <c:numRef>
              <c:f>'UT-GOM2-1-H005-9FB-2'!$AB$6:$AB$199</c:f>
              <c:numCache>
                <c:formatCode>0.0</c:formatCode>
                <c:ptCount val="194"/>
                <c:pt idx="0">
                  <c:v>18.9</c:v>
                </c:pt>
                <c:pt idx="1">
                  <c:v>17.0</c:v>
                </c:pt>
                <c:pt idx="2">
                  <c:v>14.0</c:v>
                </c:pt>
                <c:pt idx="3">
                  <c:v>12.5</c:v>
                </c:pt>
                <c:pt idx="4">
                  <c:v>11.5</c:v>
                </c:pt>
                <c:pt idx="5">
                  <c:v>10.8</c:v>
                </c:pt>
                <c:pt idx="6">
                  <c:v>10.0</c:v>
                </c:pt>
                <c:pt idx="7">
                  <c:v>9.0</c:v>
                </c:pt>
                <c:pt idx="8">
                  <c:v>5.6</c:v>
                </c:pt>
                <c:pt idx="9">
                  <c:v>6.4</c:v>
                </c:pt>
                <c:pt idx="10">
                  <c:v>7.2</c:v>
                </c:pt>
                <c:pt idx="11">
                  <c:v>5.6</c:v>
                </c:pt>
                <c:pt idx="12">
                  <c:v>6.2</c:v>
                </c:pt>
                <c:pt idx="13">
                  <c:v>7.0</c:v>
                </c:pt>
                <c:pt idx="14">
                  <c:v>7.3</c:v>
                </c:pt>
                <c:pt idx="15">
                  <c:v>7.1</c:v>
                </c:pt>
                <c:pt idx="16">
                  <c:v>5.9</c:v>
                </c:pt>
                <c:pt idx="17">
                  <c:v>5.0</c:v>
                </c:pt>
                <c:pt idx="18">
                  <c:v>5.0</c:v>
                </c:pt>
                <c:pt idx="19">
                  <c:v>4.3</c:v>
                </c:pt>
                <c:pt idx="20">
                  <c:v>4.3</c:v>
                </c:pt>
                <c:pt idx="21">
                  <c:v>3.2</c:v>
                </c:pt>
                <c:pt idx="22">
                  <c:v>4.2</c:v>
                </c:pt>
                <c:pt idx="23">
                  <c:v>4.0</c:v>
                </c:pt>
                <c:pt idx="24">
                  <c:v>2.8</c:v>
                </c:pt>
                <c:pt idx="25">
                  <c:v>3.3</c:v>
                </c:pt>
                <c:pt idx="26">
                  <c:v>3.1</c:v>
                </c:pt>
                <c:pt idx="27">
                  <c:v>1.0</c:v>
                </c:pt>
                <c:pt idx="28">
                  <c:v>0.9</c:v>
                </c:pt>
                <c:pt idx="29">
                  <c:v>0.7</c:v>
                </c:pt>
                <c:pt idx="30">
                  <c:v>0.6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'UT-GOM2-1-H005-9FB-2'!$W$4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'UT-GOM2-1-H005-9FB-2'!$Y$6:$Y$199</c:f>
              <c:numCache>
                <c:formatCode>0.00</c:formatCode>
                <c:ptCount val="194"/>
                <c:pt idx="0">
                  <c:v>0.0</c:v>
                </c:pt>
                <c:pt idx="1">
                  <c:v>4.681037438928335</c:v>
                </c:pt>
                <c:pt idx="2">
                  <c:v>13.72147815912809</c:v>
                </c:pt>
                <c:pt idx="3">
                  <c:v>19.98008866967162</c:v>
                </c:pt>
                <c:pt idx="4">
                  <c:v>21.83351474487005</c:v>
                </c:pt>
                <c:pt idx="5">
                  <c:v>23.12497532752306</c:v>
                </c:pt>
                <c:pt idx="6">
                  <c:v>22.90288642397823</c:v>
                </c:pt>
                <c:pt idx="7">
                  <c:v>21.58044854644524</c:v>
                </c:pt>
                <c:pt idx="8">
                  <c:v>13.12767015602161</c:v>
                </c:pt>
                <c:pt idx="9">
                  <c:v>16.42859367352196</c:v>
                </c:pt>
                <c:pt idx="10">
                  <c:v>20.39928431032926</c:v>
                </c:pt>
                <c:pt idx="11">
                  <c:v>17.15246921736572</c:v>
                </c:pt>
                <c:pt idx="12">
                  <c:v>20.39801676079554</c:v>
                </c:pt>
                <c:pt idx="13">
                  <c:v>23.4332637825514</c:v>
                </c:pt>
                <c:pt idx="14">
                  <c:v>24.30940562644877</c:v>
                </c:pt>
                <c:pt idx="15">
                  <c:v>24.21027352388293</c:v>
                </c:pt>
                <c:pt idx="16">
                  <c:v>21.53840844837765</c:v>
                </c:pt>
                <c:pt idx="17">
                  <c:v>18.72661842688466</c:v>
                </c:pt>
                <c:pt idx="18">
                  <c:v>19.28099762905088</c:v>
                </c:pt>
                <c:pt idx="19">
                  <c:v>16.51816020065487</c:v>
                </c:pt>
                <c:pt idx="20">
                  <c:v>16.76734869272483</c:v>
                </c:pt>
                <c:pt idx="21">
                  <c:v>13.28861182345635</c:v>
                </c:pt>
                <c:pt idx="22">
                  <c:v>18.42334161732041</c:v>
                </c:pt>
                <c:pt idx="23">
                  <c:v>17.21446941652179</c:v>
                </c:pt>
                <c:pt idx="24">
                  <c:v>12.49938909785793</c:v>
                </c:pt>
                <c:pt idx="25">
                  <c:v>15.374966689207</c:v>
                </c:pt>
                <c:pt idx="26">
                  <c:v>14.28794367227852</c:v>
                </c:pt>
                <c:pt idx="27">
                  <c:v>7.10301895005831</c:v>
                </c:pt>
                <c:pt idx="28">
                  <c:v>6.640158260793248</c:v>
                </c:pt>
                <c:pt idx="29">
                  <c:v>5.30229373237154</c:v>
                </c:pt>
                <c:pt idx="30">
                  <c:v>4.647707354924364</c:v>
                </c:pt>
                <c:pt idx="31">
                  <c:v>3.142035864741824</c:v>
                </c:pt>
                <c:pt idx="32">
                  <c:v>2.435089366280775</c:v>
                </c:pt>
                <c:pt idx="33">
                  <c:v>1.780645770107967</c:v>
                </c:pt>
                <c:pt idx="34">
                  <c:v>0.91304286659205</c:v>
                </c:pt>
              </c:numCache>
            </c:numRef>
          </c:xVal>
          <c:yVal>
            <c:numRef>
              <c:f>'UT-GOM2-1-H005-9FB-2'!$AB$6:$AB$199</c:f>
              <c:numCache>
                <c:formatCode>0.0</c:formatCode>
                <c:ptCount val="194"/>
                <c:pt idx="0">
                  <c:v>18.9</c:v>
                </c:pt>
                <c:pt idx="1">
                  <c:v>17.0</c:v>
                </c:pt>
                <c:pt idx="2">
                  <c:v>14.0</c:v>
                </c:pt>
                <c:pt idx="3">
                  <c:v>12.5</c:v>
                </c:pt>
                <c:pt idx="4">
                  <c:v>11.5</c:v>
                </c:pt>
                <c:pt idx="5">
                  <c:v>10.8</c:v>
                </c:pt>
                <c:pt idx="6">
                  <c:v>10.0</c:v>
                </c:pt>
                <c:pt idx="7">
                  <c:v>9.0</c:v>
                </c:pt>
                <c:pt idx="8">
                  <c:v>5.6</c:v>
                </c:pt>
                <c:pt idx="9">
                  <c:v>6.4</c:v>
                </c:pt>
                <c:pt idx="10">
                  <c:v>7.2</c:v>
                </c:pt>
                <c:pt idx="11">
                  <c:v>5.6</c:v>
                </c:pt>
                <c:pt idx="12">
                  <c:v>6.2</c:v>
                </c:pt>
                <c:pt idx="13">
                  <c:v>7.0</c:v>
                </c:pt>
                <c:pt idx="14">
                  <c:v>7.3</c:v>
                </c:pt>
                <c:pt idx="15">
                  <c:v>7.1</c:v>
                </c:pt>
                <c:pt idx="16">
                  <c:v>5.9</c:v>
                </c:pt>
                <c:pt idx="17">
                  <c:v>5.0</c:v>
                </c:pt>
                <c:pt idx="18">
                  <c:v>5.0</c:v>
                </c:pt>
                <c:pt idx="19">
                  <c:v>4.3</c:v>
                </c:pt>
                <c:pt idx="20">
                  <c:v>4.3</c:v>
                </c:pt>
                <c:pt idx="21">
                  <c:v>3.2</c:v>
                </c:pt>
                <c:pt idx="22">
                  <c:v>4.2</c:v>
                </c:pt>
                <c:pt idx="23">
                  <c:v>4.0</c:v>
                </c:pt>
                <c:pt idx="24">
                  <c:v>2.8</c:v>
                </c:pt>
                <c:pt idx="25">
                  <c:v>3.3</c:v>
                </c:pt>
                <c:pt idx="26">
                  <c:v>3.1</c:v>
                </c:pt>
                <c:pt idx="27">
                  <c:v>1.0</c:v>
                </c:pt>
                <c:pt idx="28">
                  <c:v>0.9</c:v>
                </c:pt>
                <c:pt idx="29">
                  <c:v>0.7</c:v>
                </c:pt>
                <c:pt idx="30">
                  <c:v>0.6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0263528"/>
        <c:axId val="-2063912664"/>
      </c:scatterChart>
      <c:valAx>
        <c:axId val="-2070263528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912664"/>
        <c:crosses val="autoZero"/>
        <c:crossBetween val="midCat"/>
        <c:minorUnit val="1.0"/>
      </c:valAx>
      <c:valAx>
        <c:axId val="-2063912664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026352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UT-GOM2-1-H005-9FB-2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991"/>
  <sheetViews>
    <sheetView zoomScale="75" zoomScaleNormal="75" zoomScalePageLayoutView="75" workbookViewId="0">
      <selection activeCell="J47" sqref="J47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9" ht="25" customHeight="1">
      <c r="A1" s="89" t="s">
        <v>1</v>
      </c>
      <c r="B1" s="90"/>
      <c r="C1" s="90"/>
      <c r="D1" s="90"/>
      <c r="E1" s="90"/>
      <c r="F1" s="91">
        <v>41413</v>
      </c>
      <c r="G1" s="92"/>
      <c r="H1" s="93"/>
      <c r="I1" s="94" t="s">
        <v>11</v>
      </c>
      <c r="J1" s="90"/>
      <c r="K1" s="90"/>
      <c r="L1" s="92" t="s">
        <v>53</v>
      </c>
      <c r="M1" s="92"/>
      <c r="N1" s="93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9" ht="25" customHeight="1" thickBot="1">
      <c r="A2" s="107" t="s">
        <v>10</v>
      </c>
      <c r="B2" s="108"/>
      <c r="C2" s="108"/>
      <c r="D2" s="108"/>
      <c r="E2" s="108"/>
      <c r="F2" s="109">
        <v>1012</v>
      </c>
      <c r="G2" s="109"/>
      <c r="H2" s="110"/>
      <c r="I2" s="111" t="s">
        <v>4</v>
      </c>
      <c r="J2" s="108"/>
      <c r="K2" s="108"/>
      <c r="L2" s="109" t="s">
        <v>48</v>
      </c>
      <c r="M2" s="109"/>
      <c r="N2" s="67">
        <f>IF(L2="red",4025, IF(L2="green",4140,IF(L2="yellow",4122,IF(L2="blue",4059,0))))</f>
        <v>4140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1">
        <f>IF(VALUE(LEFT(RIGHT(L1,7),3))=35,26,90)</f>
        <v>90</v>
      </c>
      <c r="Y2" s="4"/>
      <c r="Z2" s="4" t="s">
        <v>13</v>
      </c>
    </row>
    <row r="3" spans="1:29" ht="25" customHeight="1" thickBot="1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Q3" s="120" t="s">
        <v>35</v>
      </c>
      <c r="R3" s="121"/>
      <c r="S3" s="122"/>
    </row>
    <row r="4" spans="1:29" ht="25" customHeight="1">
      <c r="A4" s="103" t="s">
        <v>17</v>
      </c>
      <c r="B4" s="95" t="s">
        <v>16</v>
      </c>
      <c r="C4" s="105" t="s">
        <v>28</v>
      </c>
      <c r="D4" s="97" t="s">
        <v>31</v>
      </c>
      <c r="E4" s="99"/>
      <c r="F4" s="97" t="s">
        <v>3</v>
      </c>
      <c r="G4" s="98"/>
      <c r="H4" s="56"/>
      <c r="I4" s="112" t="s">
        <v>2</v>
      </c>
      <c r="J4" s="112"/>
      <c r="K4" s="112"/>
      <c r="L4" s="113"/>
      <c r="M4" s="125" t="s">
        <v>26</v>
      </c>
      <c r="N4" s="127" t="s">
        <v>29</v>
      </c>
      <c r="O4" s="119" t="s">
        <v>34</v>
      </c>
      <c r="P4" s="118"/>
      <c r="Q4" s="47" t="s">
        <v>37</v>
      </c>
      <c r="R4" s="123" t="s">
        <v>36</v>
      </c>
      <c r="S4" s="124"/>
      <c r="T4" s="51" t="s">
        <v>38</v>
      </c>
      <c r="U4" s="117" t="s">
        <v>32</v>
      </c>
      <c r="V4" s="118"/>
      <c r="W4" s="114" t="s">
        <v>45</v>
      </c>
      <c r="X4" s="115"/>
      <c r="Y4" s="116"/>
      <c r="Z4" s="51" t="s">
        <v>33</v>
      </c>
      <c r="AB4" s="51" t="s">
        <v>49</v>
      </c>
    </row>
    <row r="5" spans="1:29" s="4" customFormat="1" ht="77.25" customHeight="1" thickBot="1">
      <c r="A5" s="104"/>
      <c r="B5" s="96"/>
      <c r="C5" s="106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26"/>
      <c r="N5" s="128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50</v>
      </c>
    </row>
    <row r="6" spans="1:29" s="34" customFormat="1" ht="20" customHeight="1">
      <c r="A6" s="23">
        <v>1</v>
      </c>
      <c r="B6" s="24">
        <v>41413</v>
      </c>
      <c r="C6" s="25">
        <v>0.62430555555555556</v>
      </c>
      <c r="D6" s="26">
        <v>189</v>
      </c>
      <c r="E6" s="27">
        <v>189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84">
        <v>11</v>
      </c>
      <c r="M6" s="26"/>
      <c r="N6" s="33" t="s">
        <v>51</v>
      </c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40" si="1">$N$2-K6</f>
        <v>4140</v>
      </c>
      <c r="S6" s="63">
        <f>IF(I6=J6,0,R6*(J6-I6))*273/(273+L6)</f>
        <v>0</v>
      </c>
      <c r="T6" s="88">
        <f t="shared" ref="T6:T9" si="2">T7</f>
        <v>97.957492858410319</v>
      </c>
      <c r="U6" s="61">
        <f>(S6+Q6)*T6/100</f>
        <v>0</v>
      </c>
      <c r="V6" s="64">
        <f>U6/1000</f>
        <v>0</v>
      </c>
      <c r="W6" s="64">
        <f>(G6+K6)/1000</f>
        <v>0</v>
      </c>
      <c r="X6" s="72">
        <v>0</v>
      </c>
      <c r="Y6" s="64">
        <f>(W6-X6)*(E6+1)*1*273/(273+L6)*T6/100</f>
        <v>0</v>
      </c>
      <c r="Z6" s="64">
        <f>V6+Y6</f>
        <v>0</v>
      </c>
      <c r="AB6" s="70">
        <f>E6/10</f>
        <v>18.899999999999999</v>
      </c>
      <c r="AC6" s="4"/>
    </row>
    <row r="7" spans="1:29" s="40" customFormat="1" ht="20" customHeight="1">
      <c r="A7" s="35">
        <f>A6+1</f>
        <v>2</v>
      </c>
      <c r="B7" s="24">
        <v>41413</v>
      </c>
      <c r="C7" s="25">
        <v>0.64444444444444449</v>
      </c>
      <c r="D7" s="26">
        <v>189</v>
      </c>
      <c r="E7" s="27">
        <v>170</v>
      </c>
      <c r="F7" s="36">
        <v>0</v>
      </c>
      <c r="G7" s="29">
        <v>35</v>
      </c>
      <c r="H7" s="37"/>
      <c r="I7" s="31">
        <v>1</v>
      </c>
      <c r="J7" s="31">
        <v>1</v>
      </c>
      <c r="K7" s="32">
        <v>0</v>
      </c>
      <c r="L7" s="84">
        <v>11</v>
      </c>
      <c r="M7" s="38"/>
      <c r="N7" s="39"/>
      <c r="O7" s="61">
        <f t="shared" ref="O7:O20" si="3">((B7 +C7) - (B6 + C6)) * 24 * 60</f>
        <v>29.000000000232831</v>
      </c>
      <c r="P7" s="64">
        <f>P6+O7/60</f>
        <v>0.48333333333721384</v>
      </c>
      <c r="Q7" s="61">
        <f t="shared" si="0"/>
        <v>0</v>
      </c>
      <c r="R7" s="62">
        <f t="shared" si="1"/>
        <v>4140</v>
      </c>
      <c r="S7" s="63">
        <f t="shared" ref="S7:S20" si="4">IF(I7=J7,0,R7*(J7-I7))*273/(273+L7)</f>
        <v>0</v>
      </c>
      <c r="T7" s="88">
        <f t="shared" si="2"/>
        <v>97.957492858410319</v>
      </c>
      <c r="U7" s="61">
        <f>(S7+Q7)*T7/100</f>
        <v>0</v>
      </c>
      <c r="V7" s="64">
        <f>V6+U7/1000</f>
        <v>0</v>
      </c>
      <c r="W7" s="64">
        <f>W6+(G7+K7)/1000</f>
        <v>3.5000000000000003E-2</v>
      </c>
      <c r="X7" s="72">
        <f>X$2/1000*EXP(-0.016*E7)</f>
        <v>5.9287278983762648E-3</v>
      </c>
      <c r="Y7" s="64">
        <f>(W7-(X7-X6))*(E7+1)*1*273/(273+L7)*T7/100</f>
        <v>4.6810374389283353</v>
      </c>
      <c r="Z7" s="64">
        <f>V7+Y7</f>
        <v>4.6810374389283353</v>
      </c>
      <c r="AB7" s="70">
        <f t="shared" ref="AB7:AB27" si="5">E7/10</f>
        <v>17</v>
      </c>
      <c r="AC7" s="4"/>
    </row>
    <row r="8" spans="1:29" s="40" customFormat="1" ht="20" customHeight="1">
      <c r="A8" s="35">
        <f t="shared" ref="A8:A28" si="6">A7+1</f>
        <v>3</v>
      </c>
      <c r="B8" s="24">
        <v>41413</v>
      </c>
      <c r="C8" s="25">
        <v>0.64722222222222225</v>
      </c>
      <c r="D8" s="26">
        <v>171</v>
      </c>
      <c r="E8" s="27">
        <v>140</v>
      </c>
      <c r="F8" s="36">
        <v>25</v>
      </c>
      <c r="G8" s="29">
        <v>72</v>
      </c>
      <c r="H8" s="37"/>
      <c r="I8" s="31">
        <v>1</v>
      </c>
      <c r="J8" s="31">
        <v>1</v>
      </c>
      <c r="K8" s="32">
        <v>0</v>
      </c>
      <c r="L8" s="84">
        <v>11</v>
      </c>
      <c r="M8" s="38"/>
      <c r="N8" s="39"/>
      <c r="O8" s="61">
        <f t="shared" si="3"/>
        <v>4.0000000025611371</v>
      </c>
      <c r="P8" s="64">
        <f t="shared" ref="P8:P20" si="7">P7+O8/60</f>
        <v>0.55000000004656613</v>
      </c>
      <c r="Q8" s="61">
        <f t="shared" si="0"/>
        <v>24.320070422535213</v>
      </c>
      <c r="R8" s="62">
        <f t="shared" si="1"/>
        <v>4140</v>
      </c>
      <c r="S8" s="63">
        <f t="shared" si="4"/>
        <v>0</v>
      </c>
      <c r="T8" s="88">
        <f t="shared" si="2"/>
        <v>97.957492858410319</v>
      </c>
      <c r="U8" s="61">
        <f t="shared" ref="U8:U20" si="8">(S8+Q8)*T8/100</f>
        <v>23.823331247315291</v>
      </c>
      <c r="V8" s="64">
        <f>V7+U8/1000</f>
        <v>2.3823331247315293E-2</v>
      </c>
      <c r="W8" s="64">
        <f t="shared" ref="W8:W20" si="9">W7+(G8+K8)/1000</f>
        <v>0.107</v>
      </c>
      <c r="X8" s="72">
        <f t="shared" ref="X8:X27" si="10">X$2/1000*EXP(-0.016*E8)</f>
        <v>9.5812653941327527E-3</v>
      </c>
      <c r="Y8" s="64">
        <f t="shared" ref="Y8:Y27" si="11">(W8-(X8-X7))*(E8+1)*1*273/(273+L8)*T8/100</f>
        <v>13.72147815912809</v>
      </c>
      <c r="Z8" s="64">
        <f t="shared" ref="Z8:Z20" si="12">V8+Y8</f>
        <v>13.745301490375406</v>
      </c>
      <c r="AB8" s="70">
        <f t="shared" si="5"/>
        <v>14</v>
      </c>
      <c r="AC8" s="4"/>
    </row>
    <row r="9" spans="1:29" s="40" customFormat="1" ht="20" customHeight="1">
      <c r="A9" s="35">
        <f t="shared" si="6"/>
        <v>4</v>
      </c>
      <c r="B9" s="24">
        <v>41413</v>
      </c>
      <c r="C9" s="25">
        <v>0.65416666666666667</v>
      </c>
      <c r="D9" s="26">
        <v>141</v>
      </c>
      <c r="E9" s="27">
        <v>125</v>
      </c>
      <c r="F9" s="36">
        <v>30</v>
      </c>
      <c r="G9" s="29">
        <v>64</v>
      </c>
      <c r="H9" s="37"/>
      <c r="I9" s="31">
        <v>1</v>
      </c>
      <c r="J9" s="31">
        <v>1</v>
      </c>
      <c r="K9" s="32">
        <v>0</v>
      </c>
      <c r="L9" s="84">
        <v>11</v>
      </c>
      <c r="M9" s="38"/>
      <c r="N9" s="39"/>
      <c r="O9" s="61">
        <f t="shared" si="3"/>
        <v>10.000000001164153</v>
      </c>
      <c r="P9" s="64">
        <f t="shared" si="7"/>
        <v>0.71666666673263535</v>
      </c>
      <c r="Q9" s="61">
        <f t="shared" si="0"/>
        <v>29.184084507042257</v>
      </c>
      <c r="R9" s="62">
        <f t="shared" si="1"/>
        <v>4140</v>
      </c>
      <c r="S9" s="63">
        <f t="shared" si="4"/>
        <v>0</v>
      </c>
      <c r="T9" s="88">
        <f t="shared" si="2"/>
        <v>97.957492858410319</v>
      </c>
      <c r="U9" s="61">
        <f t="shared" si="8"/>
        <v>28.587997496778353</v>
      </c>
      <c r="V9" s="64">
        <f>V8+U9/1000</f>
        <v>5.2411328744093641E-2</v>
      </c>
      <c r="W9" s="64">
        <f t="shared" si="9"/>
        <v>0.17099999999999999</v>
      </c>
      <c r="X9" s="72">
        <f t="shared" si="10"/>
        <v>1.2180175491295143E-2</v>
      </c>
      <c r="Y9" s="64">
        <f t="shared" si="11"/>
        <v>19.98008866967162</v>
      </c>
      <c r="Z9" s="64">
        <f t="shared" si="12"/>
        <v>20.032499998415712</v>
      </c>
      <c r="AB9" s="70">
        <f t="shared" si="5"/>
        <v>12.5</v>
      </c>
      <c r="AC9" s="4"/>
    </row>
    <row r="10" spans="1:29" s="40" customFormat="1" ht="20" customHeight="1">
      <c r="A10" s="35">
        <f t="shared" si="6"/>
        <v>5</v>
      </c>
      <c r="B10" s="24">
        <v>41413</v>
      </c>
      <c r="C10" s="25">
        <v>0.65902777777777777</v>
      </c>
      <c r="D10" s="26">
        <v>125</v>
      </c>
      <c r="E10" s="27">
        <v>115</v>
      </c>
      <c r="F10" s="36">
        <v>34</v>
      </c>
      <c r="G10" s="29">
        <v>31</v>
      </c>
      <c r="H10" s="37"/>
      <c r="I10" s="31">
        <v>1</v>
      </c>
      <c r="J10" s="31">
        <v>1</v>
      </c>
      <c r="K10" s="32">
        <v>0</v>
      </c>
      <c r="L10" s="84">
        <v>11</v>
      </c>
      <c r="M10" s="38"/>
      <c r="N10" s="39"/>
      <c r="O10" s="61">
        <f t="shared" si="3"/>
        <v>7.0000000018626451</v>
      </c>
      <c r="P10" s="64">
        <f t="shared" si="7"/>
        <v>0.8333333334303461</v>
      </c>
      <c r="Q10" s="61">
        <f t="shared" si="0"/>
        <v>33.075295774647884</v>
      </c>
      <c r="R10" s="62">
        <f t="shared" si="1"/>
        <v>4140</v>
      </c>
      <c r="S10" s="63">
        <f t="shared" si="4"/>
        <v>0</v>
      </c>
      <c r="T10" s="88">
        <f>T11</f>
        <v>97.957492858410319</v>
      </c>
      <c r="U10" s="61">
        <f t="shared" si="8"/>
        <v>32.399730496348795</v>
      </c>
      <c r="V10" s="64">
        <f>V9+U10/1000</f>
        <v>8.4811059240442438E-2</v>
      </c>
      <c r="W10" s="64">
        <f t="shared" si="9"/>
        <v>0.20199999999999999</v>
      </c>
      <c r="X10" s="72">
        <f t="shared" si="10"/>
        <v>1.429356834962286E-2</v>
      </c>
      <c r="Y10" s="64">
        <f t="shared" si="11"/>
        <v>21.833514744870055</v>
      </c>
      <c r="Z10" s="64">
        <f t="shared" si="12"/>
        <v>21.918325804110498</v>
      </c>
      <c r="AB10" s="70">
        <f t="shared" si="5"/>
        <v>11.5</v>
      </c>
      <c r="AC10" s="4"/>
    </row>
    <row r="11" spans="1:29" s="40" customFormat="1" ht="20" customHeight="1">
      <c r="A11" s="35">
        <f t="shared" si="6"/>
        <v>6</v>
      </c>
      <c r="B11" s="24">
        <v>41413</v>
      </c>
      <c r="C11" s="25">
        <v>0.71180555555555547</v>
      </c>
      <c r="D11" s="26">
        <v>113</v>
      </c>
      <c r="E11" s="27">
        <v>108</v>
      </c>
      <c r="F11" s="36">
        <v>560</v>
      </c>
      <c r="G11" s="29">
        <v>25</v>
      </c>
      <c r="H11" s="37"/>
      <c r="I11" s="31">
        <v>1</v>
      </c>
      <c r="J11" s="31">
        <v>1</v>
      </c>
      <c r="K11" s="32">
        <v>0</v>
      </c>
      <c r="L11" s="84">
        <v>11</v>
      </c>
      <c r="M11" s="38" t="s">
        <v>54</v>
      </c>
      <c r="N11" s="39"/>
      <c r="O11" s="61">
        <f t="shared" si="3"/>
        <v>75.99999999627471</v>
      </c>
      <c r="P11" s="64">
        <f t="shared" si="7"/>
        <v>2.1000000000349246</v>
      </c>
      <c r="Q11" s="61">
        <f t="shared" si="0"/>
        <v>544.76957746478877</v>
      </c>
      <c r="R11" s="62">
        <f t="shared" si="1"/>
        <v>4140</v>
      </c>
      <c r="S11" s="63">
        <f t="shared" si="4"/>
        <v>0</v>
      </c>
      <c r="T11" s="88">
        <v>97.957492858410319</v>
      </c>
      <c r="U11" s="61">
        <f t="shared" si="8"/>
        <v>533.64261993986258</v>
      </c>
      <c r="V11" s="64">
        <f t="shared" ref="V11:V20" si="13">V10+U11/1000</f>
        <v>0.61845367918030503</v>
      </c>
      <c r="W11" s="64">
        <f t="shared" si="9"/>
        <v>0.22699999999999998</v>
      </c>
      <c r="X11" s="72">
        <f t="shared" si="10"/>
        <v>1.5987540023562147E-2</v>
      </c>
      <c r="Y11" s="64">
        <f t="shared" si="11"/>
        <v>23.124975327523057</v>
      </c>
      <c r="Z11" s="64">
        <f t="shared" si="12"/>
        <v>23.743429006703362</v>
      </c>
      <c r="AB11" s="70">
        <f t="shared" si="5"/>
        <v>10.8</v>
      </c>
      <c r="AC11" s="4"/>
    </row>
    <row r="12" spans="1:29" s="40" customFormat="1" ht="20" customHeight="1">
      <c r="A12" s="35">
        <f t="shared" si="6"/>
        <v>7</v>
      </c>
      <c r="B12" s="24">
        <v>41413</v>
      </c>
      <c r="C12" s="25">
        <v>0.77430555555555547</v>
      </c>
      <c r="D12" s="26">
        <v>105</v>
      </c>
      <c r="E12" s="27">
        <v>100</v>
      </c>
      <c r="F12" s="36">
        <v>130</v>
      </c>
      <c r="G12" s="29">
        <v>16</v>
      </c>
      <c r="H12" s="37"/>
      <c r="I12" s="31">
        <v>1</v>
      </c>
      <c r="J12" s="31">
        <v>1</v>
      </c>
      <c r="K12" s="32">
        <v>0</v>
      </c>
      <c r="L12" s="84">
        <v>11</v>
      </c>
      <c r="M12" s="38"/>
      <c r="N12" s="39"/>
      <c r="O12" s="61">
        <f t="shared" si="3"/>
        <v>90</v>
      </c>
      <c r="P12" s="64">
        <f t="shared" si="7"/>
        <v>3.6000000000349246</v>
      </c>
      <c r="Q12" s="61">
        <f t="shared" si="0"/>
        <v>126.46436619718308</v>
      </c>
      <c r="R12" s="62">
        <f t="shared" si="1"/>
        <v>4140</v>
      </c>
      <c r="S12" s="63">
        <f t="shared" si="4"/>
        <v>0</v>
      </c>
      <c r="T12" s="88">
        <f t="shared" ref="T12:T40" si="14">IF(M12="", T11, "-")</f>
        <v>97.957492858410319</v>
      </c>
      <c r="U12" s="61">
        <f t="shared" si="8"/>
        <v>123.88132248603949</v>
      </c>
      <c r="V12" s="64">
        <f t="shared" si="13"/>
        <v>0.74233500166634447</v>
      </c>
      <c r="W12" s="64">
        <f t="shared" si="9"/>
        <v>0.24299999999999999</v>
      </c>
      <c r="X12" s="72">
        <f t="shared" si="10"/>
        <v>1.8170686619518983E-2</v>
      </c>
      <c r="Y12" s="64">
        <f t="shared" si="11"/>
        <v>22.902886423978234</v>
      </c>
      <c r="Z12" s="64">
        <f t="shared" si="12"/>
        <v>23.645221425644579</v>
      </c>
      <c r="AB12" s="70">
        <f t="shared" si="5"/>
        <v>10</v>
      </c>
      <c r="AC12" s="4"/>
    </row>
    <row r="13" spans="1:29" s="40" customFormat="1" ht="20" customHeight="1">
      <c r="A13" s="35">
        <f t="shared" si="6"/>
        <v>8</v>
      </c>
      <c r="B13" s="24">
        <v>41413</v>
      </c>
      <c r="C13" s="25">
        <v>0.82152777777777775</v>
      </c>
      <c r="D13" s="26">
        <v>99</v>
      </c>
      <c r="E13" s="73">
        <v>90</v>
      </c>
      <c r="F13" s="36">
        <v>110</v>
      </c>
      <c r="G13" s="29">
        <v>12</v>
      </c>
      <c r="H13" s="37"/>
      <c r="I13" s="31">
        <v>1</v>
      </c>
      <c r="J13" s="31">
        <v>1</v>
      </c>
      <c r="K13" s="32">
        <v>0</v>
      </c>
      <c r="L13" s="84">
        <v>11</v>
      </c>
      <c r="M13" s="38"/>
      <c r="N13" s="39"/>
      <c r="O13" s="61">
        <f t="shared" si="3"/>
        <v>68.000000001629815</v>
      </c>
      <c r="P13" s="64">
        <f t="shared" si="7"/>
        <v>4.7333333333954215</v>
      </c>
      <c r="Q13" s="61">
        <f t="shared" si="0"/>
        <v>107.00830985915492</v>
      </c>
      <c r="R13" s="62">
        <f t="shared" si="1"/>
        <v>4140</v>
      </c>
      <c r="S13" s="63">
        <f t="shared" si="4"/>
        <v>0</v>
      </c>
      <c r="T13" s="88">
        <f t="shared" si="14"/>
        <v>97.957492858410319</v>
      </c>
      <c r="U13" s="61">
        <f t="shared" si="8"/>
        <v>104.82265748818728</v>
      </c>
      <c r="V13" s="64">
        <f t="shared" si="13"/>
        <v>0.84715765915453178</v>
      </c>
      <c r="W13" s="64">
        <f t="shared" si="9"/>
        <v>0.255</v>
      </c>
      <c r="X13" s="72">
        <f t="shared" si="10"/>
        <v>2.1323498281390959E-2</v>
      </c>
      <c r="Y13" s="64">
        <f t="shared" si="11"/>
        <v>21.580448546445236</v>
      </c>
      <c r="Z13" s="64">
        <f t="shared" si="12"/>
        <v>22.427606205599769</v>
      </c>
      <c r="AB13" s="70">
        <f t="shared" si="5"/>
        <v>9</v>
      </c>
      <c r="AC13" s="4"/>
    </row>
    <row r="14" spans="1:29" s="40" customFormat="1" ht="20" customHeight="1">
      <c r="A14" s="35">
        <f t="shared" si="6"/>
        <v>9</v>
      </c>
      <c r="B14" s="24">
        <v>41413</v>
      </c>
      <c r="C14" s="74">
        <v>0.8666666666666667</v>
      </c>
      <c r="D14" s="38">
        <v>96</v>
      </c>
      <c r="E14" s="75">
        <v>56</v>
      </c>
      <c r="F14" s="36">
        <v>320</v>
      </c>
      <c r="G14" s="29">
        <v>5</v>
      </c>
      <c r="H14" s="37"/>
      <c r="I14" s="31">
        <v>1</v>
      </c>
      <c r="J14" s="31">
        <v>1</v>
      </c>
      <c r="K14" s="32">
        <v>0</v>
      </c>
      <c r="L14" s="84">
        <v>11</v>
      </c>
      <c r="M14" s="38"/>
      <c r="N14" s="39"/>
      <c r="O14" s="61">
        <f t="shared" si="3"/>
        <v>65.000000002328306</v>
      </c>
      <c r="P14" s="64">
        <f t="shared" si="7"/>
        <v>5.8166666667675599</v>
      </c>
      <c r="Q14" s="61">
        <f t="shared" si="0"/>
        <v>311.29690140845065</v>
      </c>
      <c r="R14" s="62">
        <f t="shared" si="1"/>
        <v>4140</v>
      </c>
      <c r="S14" s="63">
        <f t="shared" si="4"/>
        <v>0</v>
      </c>
      <c r="T14" s="88">
        <f t="shared" si="14"/>
        <v>97.957492858410319</v>
      </c>
      <c r="U14" s="61">
        <f t="shared" si="8"/>
        <v>304.93863996563567</v>
      </c>
      <c r="V14" s="64">
        <f t="shared" si="13"/>
        <v>1.1520962991201675</v>
      </c>
      <c r="W14" s="64">
        <f t="shared" si="9"/>
        <v>0.26</v>
      </c>
      <c r="X14" s="72">
        <f t="shared" si="10"/>
        <v>3.6737927575013041E-2</v>
      </c>
      <c r="Y14" s="64">
        <f t="shared" si="11"/>
        <v>13.127670156021608</v>
      </c>
      <c r="Z14" s="64">
        <f t="shared" si="12"/>
        <v>14.279766455141775</v>
      </c>
      <c r="AB14" s="70">
        <f t="shared" si="5"/>
        <v>5.6</v>
      </c>
      <c r="AC14" s="4"/>
    </row>
    <row r="15" spans="1:29" s="40" customFormat="1" ht="20" customHeight="1">
      <c r="A15" s="35">
        <f t="shared" si="6"/>
        <v>10</v>
      </c>
      <c r="B15" s="24">
        <v>41413</v>
      </c>
      <c r="C15" s="74">
        <v>0.89722222222222225</v>
      </c>
      <c r="D15" s="76">
        <v>94</v>
      </c>
      <c r="E15" s="75">
        <v>64</v>
      </c>
      <c r="F15" s="36">
        <v>320</v>
      </c>
      <c r="G15" s="29">
        <v>4</v>
      </c>
      <c r="H15" s="37"/>
      <c r="I15" s="31">
        <v>1</v>
      </c>
      <c r="J15" s="31">
        <v>1</v>
      </c>
      <c r="K15" s="32">
        <v>0</v>
      </c>
      <c r="L15" s="84">
        <v>11</v>
      </c>
      <c r="M15" s="38"/>
      <c r="N15" s="39"/>
      <c r="O15" s="61">
        <f t="shared" si="3"/>
        <v>43.999999996740371</v>
      </c>
      <c r="P15" s="64">
        <f t="shared" si="7"/>
        <v>6.5500000000465661</v>
      </c>
      <c r="Q15" s="61">
        <f t="shared" si="0"/>
        <v>311.29690140845065</v>
      </c>
      <c r="R15" s="62">
        <f t="shared" si="1"/>
        <v>4140</v>
      </c>
      <c r="S15" s="63">
        <f t="shared" si="4"/>
        <v>0</v>
      </c>
      <c r="T15" s="88">
        <f t="shared" si="14"/>
        <v>97.957492858410319</v>
      </c>
      <c r="U15" s="61">
        <f t="shared" si="8"/>
        <v>304.93863996563567</v>
      </c>
      <c r="V15" s="64">
        <f t="shared" si="13"/>
        <v>1.4570349390858033</v>
      </c>
      <c r="W15" s="64">
        <f t="shared" si="9"/>
        <v>0.26400000000000001</v>
      </c>
      <c r="X15" s="72">
        <f t="shared" si="10"/>
        <v>3.2323989719646409E-2</v>
      </c>
      <c r="Y15" s="64">
        <f t="shared" si="11"/>
        <v>16.428593673521959</v>
      </c>
      <c r="Z15" s="64">
        <f t="shared" si="12"/>
        <v>17.885628612607764</v>
      </c>
      <c r="AB15" s="70">
        <f t="shared" si="5"/>
        <v>6.4</v>
      </c>
      <c r="AC15" s="4"/>
    </row>
    <row r="16" spans="1:29" s="40" customFormat="1" ht="20" customHeight="1">
      <c r="A16" s="35">
        <f t="shared" si="6"/>
        <v>11</v>
      </c>
      <c r="B16" s="24">
        <v>41413</v>
      </c>
      <c r="C16" s="74">
        <v>0.91736111111111107</v>
      </c>
      <c r="D16" s="76">
        <v>91</v>
      </c>
      <c r="E16" s="75">
        <v>72</v>
      </c>
      <c r="F16" s="36">
        <v>1440</v>
      </c>
      <c r="G16" s="29">
        <v>29</v>
      </c>
      <c r="H16" s="37"/>
      <c r="I16" s="31">
        <v>1</v>
      </c>
      <c r="J16" s="31">
        <v>1</v>
      </c>
      <c r="K16" s="32">
        <v>0</v>
      </c>
      <c r="L16" s="84">
        <v>11</v>
      </c>
      <c r="M16" s="38" t="s">
        <v>55</v>
      </c>
      <c r="N16" s="39" t="s">
        <v>56</v>
      </c>
      <c r="O16" s="61">
        <f t="shared" si="3"/>
        <v>29.000000000232831</v>
      </c>
      <c r="P16" s="64">
        <f t="shared" si="7"/>
        <v>7.03333333338378</v>
      </c>
      <c r="Q16" s="61">
        <f t="shared" si="0"/>
        <v>1400.8360563380281</v>
      </c>
      <c r="R16" s="62">
        <f t="shared" si="1"/>
        <v>4140</v>
      </c>
      <c r="S16" s="63">
        <f t="shared" si="4"/>
        <v>0</v>
      </c>
      <c r="T16" s="88">
        <v>97.917773477159997</v>
      </c>
      <c r="U16" s="61">
        <f t="shared" si="8"/>
        <v>1371.6674764314519</v>
      </c>
      <c r="V16" s="64">
        <f t="shared" si="13"/>
        <v>2.8287024155172551</v>
      </c>
      <c r="W16" s="64">
        <f t="shared" si="9"/>
        <v>0.29300000000000004</v>
      </c>
      <c r="X16" s="72">
        <f t="shared" si="10"/>
        <v>2.8440371582267619E-2</v>
      </c>
      <c r="Y16" s="64">
        <f t="shared" si="11"/>
        <v>20.399284310329257</v>
      </c>
      <c r="Z16" s="64">
        <f t="shared" si="12"/>
        <v>23.227986725846513</v>
      </c>
      <c r="AB16" s="70">
        <f t="shared" si="5"/>
        <v>7.2</v>
      </c>
      <c r="AC16" s="4"/>
    </row>
    <row r="17" spans="1:29" s="40" customFormat="1" ht="20" customHeight="1">
      <c r="A17" s="35">
        <f t="shared" si="6"/>
        <v>12</v>
      </c>
      <c r="B17" s="24">
        <v>41413</v>
      </c>
      <c r="C17" s="74">
        <v>0.93611111111111101</v>
      </c>
      <c r="D17" s="76">
        <v>82</v>
      </c>
      <c r="E17" s="75">
        <v>56</v>
      </c>
      <c r="F17" s="36">
        <v>1200</v>
      </c>
      <c r="G17" s="29">
        <v>35</v>
      </c>
      <c r="H17" s="37"/>
      <c r="I17" s="31">
        <v>1</v>
      </c>
      <c r="J17" s="31">
        <v>1</v>
      </c>
      <c r="K17" s="32">
        <v>0</v>
      </c>
      <c r="L17" s="84">
        <v>11</v>
      </c>
      <c r="M17" s="38"/>
      <c r="N17" s="39"/>
      <c r="O17" s="61">
        <f t="shared" si="3"/>
        <v>27.000000004190952</v>
      </c>
      <c r="P17" s="64">
        <f t="shared" si="7"/>
        <v>7.4833333334536292</v>
      </c>
      <c r="Q17" s="61">
        <f t="shared" si="0"/>
        <v>1167.3633802816901</v>
      </c>
      <c r="R17" s="62">
        <f t="shared" si="1"/>
        <v>4140</v>
      </c>
      <c r="S17" s="63">
        <f t="shared" si="4"/>
        <v>0</v>
      </c>
      <c r="T17" s="88">
        <f t="shared" si="14"/>
        <v>97.917773477159997</v>
      </c>
      <c r="U17" s="61">
        <f t="shared" si="8"/>
        <v>1143.0562303595432</v>
      </c>
      <c r="V17" s="64">
        <f t="shared" si="13"/>
        <v>3.9717586458767982</v>
      </c>
      <c r="W17" s="64">
        <f t="shared" si="9"/>
        <v>0.32800000000000007</v>
      </c>
      <c r="X17" s="72">
        <f t="shared" si="10"/>
        <v>3.6737927575013041E-2</v>
      </c>
      <c r="Y17" s="64">
        <f t="shared" si="11"/>
        <v>17.15246921736572</v>
      </c>
      <c r="Z17" s="64">
        <f t="shared" si="12"/>
        <v>21.124227863242517</v>
      </c>
      <c r="AB17" s="70">
        <f t="shared" si="5"/>
        <v>5.6</v>
      </c>
      <c r="AC17" s="4"/>
    </row>
    <row r="18" spans="1:29" s="40" customFormat="1" ht="20" customHeight="1">
      <c r="A18" s="35">
        <f t="shared" si="6"/>
        <v>13</v>
      </c>
      <c r="B18" s="24">
        <v>41413</v>
      </c>
      <c r="C18" s="74">
        <v>0.97152777777777777</v>
      </c>
      <c r="D18" s="76">
        <v>78</v>
      </c>
      <c r="E18" s="75">
        <v>62</v>
      </c>
      <c r="F18" s="36">
        <v>1410</v>
      </c>
      <c r="G18" s="29">
        <v>12</v>
      </c>
      <c r="H18" s="37"/>
      <c r="I18" s="31">
        <v>1</v>
      </c>
      <c r="J18" s="31">
        <v>1</v>
      </c>
      <c r="K18" s="32">
        <v>0</v>
      </c>
      <c r="L18" s="84">
        <v>11</v>
      </c>
      <c r="M18" s="38" t="s">
        <v>57</v>
      </c>
      <c r="N18" s="39"/>
      <c r="O18" s="61">
        <f t="shared" si="3"/>
        <v>50.999999998603016</v>
      </c>
      <c r="P18" s="64">
        <f t="shared" si="7"/>
        <v>8.3333333334303461</v>
      </c>
      <c r="Q18" s="61">
        <f t="shared" si="0"/>
        <v>1371.651971830986</v>
      </c>
      <c r="R18" s="62">
        <f t="shared" si="1"/>
        <v>4140</v>
      </c>
      <c r="S18" s="63">
        <f t="shared" si="4"/>
        <v>0</v>
      </c>
      <c r="T18" s="88">
        <v>98.095659764586316</v>
      </c>
      <c r="U18" s="61">
        <f t="shared" si="8"/>
        <v>1345.5310514415635</v>
      </c>
      <c r="V18" s="64">
        <f t="shared" si="13"/>
        <v>5.3172896973183619</v>
      </c>
      <c r="W18" s="64">
        <f t="shared" si="9"/>
        <v>0.34000000000000008</v>
      </c>
      <c r="X18" s="72">
        <f t="shared" si="10"/>
        <v>3.337508522683761E-2</v>
      </c>
      <c r="Y18" s="64">
        <f t="shared" si="11"/>
        <v>20.398016760795539</v>
      </c>
      <c r="Z18" s="64">
        <f t="shared" si="12"/>
        <v>25.715306458113901</v>
      </c>
      <c r="AB18" s="70">
        <f t="shared" si="5"/>
        <v>6.2</v>
      </c>
      <c r="AC18" s="4"/>
    </row>
    <row r="19" spans="1:29" s="40" customFormat="1" ht="20" customHeight="1">
      <c r="A19" s="35">
        <f t="shared" si="6"/>
        <v>14</v>
      </c>
      <c r="B19" s="24">
        <v>41413</v>
      </c>
      <c r="C19" s="74">
        <v>0.99583333333333324</v>
      </c>
      <c r="D19" s="76">
        <v>76</v>
      </c>
      <c r="E19" s="75">
        <v>70</v>
      </c>
      <c r="F19" s="36">
        <v>1590</v>
      </c>
      <c r="G19" s="29">
        <v>6</v>
      </c>
      <c r="H19" s="37"/>
      <c r="I19" s="31">
        <v>1</v>
      </c>
      <c r="J19" s="31">
        <v>1</v>
      </c>
      <c r="K19" s="32">
        <v>0</v>
      </c>
      <c r="L19" s="84">
        <v>11</v>
      </c>
      <c r="M19" s="38" t="s">
        <v>58</v>
      </c>
      <c r="N19" s="39"/>
      <c r="O19" s="61">
        <f t="shared" si="3"/>
        <v>34.999999998835847</v>
      </c>
      <c r="P19" s="64">
        <f t="shared" si="7"/>
        <v>8.9166666667442769</v>
      </c>
      <c r="Q19" s="61">
        <f t="shared" si="0"/>
        <v>1546.7564788732393</v>
      </c>
      <c r="R19" s="62">
        <f t="shared" si="1"/>
        <v>4140</v>
      </c>
      <c r="S19" s="63">
        <f t="shared" si="4"/>
        <v>0</v>
      </c>
      <c r="T19" s="88">
        <v>98.095659764586316</v>
      </c>
      <c r="U19" s="61">
        <f t="shared" si="8"/>
        <v>1517.3009729021883</v>
      </c>
      <c r="V19" s="64">
        <f t="shared" si="13"/>
        <v>6.8345906702205497</v>
      </c>
      <c r="W19" s="64">
        <f t="shared" si="9"/>
        <v>0.34600000000000009</v>
      </c>
      <c r="X19" s="72">
        <f t="shared" si="10"/>
        <v>2.9365181516073549E-2</v>
      </c>
      <c r="Y19" s="64">
        <f t="shared" si="11"/>
        <v>23.4332637825514</v>
      </c>
      <c r="Z19" s="64">
        <f t="shared" si="12"/>
        <v>30.26785445277195</v>
      </c>
      <c r="AB19" s="70">
        <f t="shared" si="5"/>
        <v>7</v>
      </c>
      <c r="AC19" s="4"/>
    </row>
    <row r="20" spans="1:29" s="40" customFormat="1" ht="20" customHeight="1">
      <c r="A20" s="35">
        <f t="shared" si="6"/>
        <v>15</v>
      </c>
      <c r="B20" s="24">
        <v>41414</v>
      </c>
      <c r="C20" s="74">
        <v>2.9166666666666664E-2</v>
      </c>
      <c r="D20" s="76">
        <v>76</v>
      </c>
      <c r="E20" s="75">
        <v>73</v>
      </c>
      <c r="F20" s="36">
        <v>1840</v>
      </c>
      <c r="G20" s="29">
        <v>1</v>
      </c>
      <c r="H20" s="37"/>
      <c r="I20" s="31">
        <v>1</v>
      </c>
      <c r="J20" s="31">
        <v>1</v>
      </c>
      <c r="K20" s="32">
        <v>0</v>
      </c>
      <c r="L20" s="84">
        <v>11</v>
      </c>
      <c r="M20" s="38"/>
      <c r="N20" s="39"/>
      <c r="O20" s="61">
        <f t="shared" si="3"/>
        <v>47.999999999301508</v>
      </c>
      <c r="P20" s="64">
        <f t="shared" si="7"/>
        <v>9.7166666667326353</v>
      </c>
      <c r="Q20" s="61">
        <f t="shared" si="0"/>
        <v>1789.9571830985915</v>
      </c>
      <c r="R20" s="62">
        <f t="shared" si="1"/>
        <v>4140</v>
      </c>
      <c r="S20" s="63">
        <f t="shared" si="4"/>
        <v>0</v>
      </c>
      <c r="T20" s="88">
        <f t="shared" si="14"/>
        <v>98.095659764586316</v>
      </c>
      <c r="U20" s="61">
        <f t="shared" si="8"/>
        <v>1755.8703082641678</v>
      </c>
      <c r="V20" s="64">
        <f t="shared" si="13"/>
        <v>8.5904609784847175</v>
      </c>
      <c r="W20" s="64">
        <f t="shared" si="9"/>
        <v>0.34700000000000009</v>
      </c>
      <c r="X20" s="72">
        <f t="shared" si="10"/>
        <v>2.798894666663353E-2</v>
      </c>
      <c r="Y20" s="64">
        <f t="shared" si="11"/>
        <v>24.309405626448775</v>
      </c>
      <c r="Z20" s="64">
        <f t="shared" si="12"/>
        <v>32.899866604933493</v>
      </c>
      <c r="AB20" s="70">
        <f t="shared" si="5"/>
        <v>7.3</v>
      </c>
      <c r="AC20" s="4"/>
    </row>
    <row r="21" spans="1:29" s="40" customFormat="1" ht="20" customHeight="1">
      <c r="A21" s="35">
        <f t="shared" si="6"/>
        <v>16</v>
      </c>
      <c r="B21" s="24">
        <v>41414</v>
      </c>
      <c r="C21" s="74">
        <v>3.125E-2</v>
      </c>
      <c r="D21" s="76">
        <v>73</v>
      </c>
      <c r="E21" s="75">
        <v>71</v>
      </c>
      <c r="F21" s="36">
        <v>0</v>
      </c>
      <c r="G21" s="29">
        <v>0</v>
      </c>
      <c r="H21" s="37"/>
      <c r="I21" s="82">
        <v>1</v>
      </c>
      <c r="J21" s="82">
        <v>2.1</v>
      </c>
      <c r="K21" s="83">
        <f>39*0.25</f>
        <v>9.75</v>
      </c>
      <c r="L21" s="84">
        <v>10.4</v>
      </c>
      <c r="M21" s="38"/>
      <c r="N21" s="39"/>
      <c r="O21" s="61">
        <f t="shared" ref="O21:O27" si="15">((B21 +C21) - (B20 + C20)) * 24 * 60</f>
        <v>2.9999999993015081</v>
      </c>
      <c r="P21" s="64">
        <f t="shared" ref="P21:P27" si="16">P20+O21/60</f>
        <v>9.7666666667209938</v>
      </c>
      <c r="Q21" s="61">
        <f t="shared" ref="Q21:Q27" si="17">F21*$F$2/1000*273/(273+L21)</f>
        <v>0</v>
      </c>
      <c r="R21" s="62">
        <f t="shared" si="1"/>
        <v>4130.25</v>
      </c>
      <c r="S21" s="63">
        <f t="shared" ref="S21:S27" si="18">IF(I21=J21,0,R21*(J21-I21))*273/(273+L21)</f>
        <v>4376.5493119266066</v>
      </c>
      <c r="T21" s="88">
        <f t="shared" si="14"/>
        <v>98.095659764586316</v>
      </c>
      <c r="U21" s="61">
        <f t="shared" ref="U21:U27" si="19">(S21+Q21)*T21/100</f>
        <v>4293.2049224568673</v>
      </c>
      <c r="V21" s="64">
        <f t="shared" ref="V21:V27" si="20">V20+U21/1000</f>
        <v>12.883665900941585</v>
      </c>
      <c r="W21" s="64">
        <f t="shared" ref="W21:W27" si="21">W20+(G21+K21)/1000</f>
        <v>0.35675000000000007</v>
      </c>
      <c r="X21" s="72">
        <f t="shared" si="10"/>
        <v>2.8899077388350458E-2</v>
      </c>
      <c r="Y21" s="64">
        <f t="shared" si="11"/>
        <v>24.210273523882925</v>
      </c>
      <c r="Z21" s="64">
        <f t="shared" ref="Z21:Z27" si="22">V21+Y21</f>
        <v>37.093939424824512</v>
      </c>
      <c r="AB21" s="70">
        <f t="shared" si="5"/>
        <v>7.1</v>
      </c>
      <c r="AC21" s="4"/>
    </row>
    <row r="22" spans="1:29" ht="20" customHeight="1">
      <c r="A22" s="35">
        <f t="shared" si="6"/>
        <v>17</v>
      </c>
      <c r="B22" s="24">
        <v>41414</v>
      </c>
      <c r="C22" s="74">
        <v>7.4305555555555555E-2</v>
      </c>
      <c r="D22" s="76">
        <v>73</v>
      </c>
      <c r="E22" s="75">
        <v>59</v>
      </c>
      <c r="F22" s="36">
        <v>0</v>
      </c>
      <c r="G22" s="29">
        <v>0</v>
      </c>
      <c r="H22" s="37"/>
      <c r="I22" s="82">
        <v>2.1</v>
      </c>
      <c r="J22" s="82">
        <v>5</v>
      </c>
      <c r="K22" s="83">
        <f>39*0.75</f>
        <v>29.25</v>
      </c>
      <c r="L22" s="84">
        <v>10.4</v>
      </c>
      <c r="M22" s="38"/>
      <c r="N22" s="39"/>
      <c r="O22" s="61">
        <f t="shared" si="15"/>
        <v>62.000000003026798</v>
      </c>
      <c r="P22" s="64">
        <f t="shared" si="16"/>
        <v>10.800000000104774</v>
      </c>
      <c r="Q22" s="61">
        <f t="shared" si="17"/>
        <v>0</v>
      </c>
      <c r="R22" s="62">
        <f>$N$2-(K22+K21)</f>
        <v>4101</v>
      </c>
      <c r="S22" s="63">
        <f t="shared" si="18"/>
        <v>11456.463302752294</v>
      </c>
      <c r="T22" s="88">
        <f t="shared" si="14"/>
        <v>98.095659764586316</v>
      </c>
      <c r="U22" s="61">
        <f t="shared" si="19"/>
        <v>11238.293262522579</v>
      </c>
      <c r="V22" s="64">
        <f t="shared" si="20"/>
        <v>24.121959163464162</v>
      </c>
      <c r="W22" s="64">
        <f t="shared" si="21"/>
        <v>0.38600000000000007</v>
      </c>
      <c r="X22" s="72">
        <f t="shared" si="10"/>
        <v>3.5016160038951263E-2</v>
      </c>
      <c r="Y22" s="64">
        <f t="shared" si="11"/>
        <v>21.538408448377648</v>
      </c>
      <c r="Z22" s="64">
        <f t="shared" si="22"/>
        <v>45.660367611841806</v>
      </c>
      <c r="AB22" s="70">
        <f t="shared" si="5"/>
        <v>5.9</v>
      </c>
      <c r="AC22" s="4"/>
    </row>
    <row r="23" spans="1:29" ht="20" customHeight="1">
      <c r="A23" s="35">
        <f t="shared" si="6"/>
        <v>18</v>
      </c>
      <c r="B23" s="24">
        <v>41414</v>
      </c>
      <c r="C23" s="74">
        <v>0.10277777777777779</v>
      </c>
      <c r="D23" s="76">
        <v>67</v>
      </c>
      <c r="E23" s="75">
        <v>50</v>
      </c>
      <c r="F23" s="36">
        <v>0</v>
      </c>
      <c r="G23" s="29">
        <v>0</v>
      </c>
      <c r="H23" s="37"/>
      <c r="I23" s="82">
        <v>1</v>
      </c>
      <c r="J23" s="82">
        <v>5</v>
      </c>
      <c r="K23" s="83">
        <v>8</v>
      </c>
      <c r="L23" s="84">
        <v>10.4</v>
      </c>
      <c r="M23" s="38"/>
      <c r="N23" s="39"/>
      <c r="O23" s="61">
        <f t="shared" si="15"/>
        <v>40.999999997438863</v>
      </c>
      <c r="P23" s="64">
        <f t="shared" si="16"/>
        <v>11.483333333395422</v>
      </c>
      <c r="Q23" s="61">
        <f t="shared" si="17"/>
        <v>0</v>
      </c>
      <c r="R23" s="62">
        <f t="shared" si="1"/>
        <v>4132</v>
      </c>
      <c r="S23" s="63">
        <f t="shared" si="18"/>
        <v>15921.467889908257</v>
      </c>
      <c r="T23" s="88">
        <f t="shared" si="14"/>
        <v>98.095659764586316</v>
      </c>
      <c r="U23" s="61">
        <f t="shared" si="19"/>
        <v>15618.268970812263</v>
      </c>
      <c r="V23" s="64">
        <f t="shared" si="20"/>
        <v>39.740228134276421</v>
      </c>
      <c r="W23" s="64">
        <f t="shared" si="21"/>
        <v>0.39400000000000007</v>
      </c>
      <c r="X23" s="72">
        <f t="shared" si="10"/>
        <v>4.0439606770549939E-2</v>
      </c>
      <c r="Y23" s="64">
        <f t="shared" si="11"/>
        <v>18.726618426884663</v>
      </c>
      <c r="Z23" s="64">
        <f t="shared" si="22"/>
        <v>58.466846561161084</v>
      </c>
      <c r="AB23" s="70">
        <f t="shared" si="5"/>
        <v>5</v>
      </c>
      <c r="AC23" s="4"/>
    </row>
    <row r="24" spans="1:29" ht="20" customHeight="1">
      <c r="A24" s="35">
        <f t="shared" si="6"/>
        <v>19</v>
      </c>
      <c r="B24" s="24">
        <v>41414</v>
      </c>
      <c r="C24" s="74">
        <v>0.10902777777777778</v>
      </c>
      <c r="D24" s="76">
        <v>53</v>
      </c>
      <c r="E24" s="75">
        <v>50</v>
      </c>
      <c r="F24" s="36">
        <v>1840</v>
      </c>
      <c r="G24" s="29">
        <v>5</v>
      </c>
      <c r="H24" s="37"/>
      <c r="I24" s="31">
        <v>1</v>
      </c>
      <c r="J24" s="31">
        <v>1</v>
      </c>
      <c r="K24" s="32">
        <v>0</v>
      </c>
      <c r="L24" s="84">
        <v>10.4</v>
      </c>
      <c r="M24" s="38" t="s">
        <v>59</v>
      </c>
      <c r="N24" s="39"/>
      <c r="O24" s="61">
        <f t="shared" si="15"/>
        <v>8.9999999979045242</v>
      </c>
      <c r="P24" s="64">
        <f t="shared" si="16"/>
        <v>11.633333333360497</v>
      </c>
      <c r="Q24" s="61">
        <f t="shared" si="17"/>
        <v>1793.7467889908257</v>
      </c>
      <c r="R24" s="62">
        <f t="shared" si="1"/>
        <v>4140</v>
      </c>
      <c r="S24" s="63">
        <f t="shared" si="18"/>
        <v>0</v>
      </c>
      <c r="T24" s="88">
        <v>98.361156933722981</v>
      </c>
      <c r="U24" s="61">
        <f t="shared" si="19"/>
        <v>1764.3500941128827</v>
      </c>
      <c r="V24" s="64">
        <f t="shared" si="20"/>
        <v>41.504578228389306</v>
      </c>
      <c r="W24" s="64">
        <f t="shared" si="21"/>
        <v>0.39900000000000008</v>
      </c>
      <c r="X24" s="72">
        <f t="shared" si="10"/>
        <v>4.0439606770549939E-2</v>
      </c>
      <c r="Y24" s="64">
        <f t="shared" si="11"/>
        <v>19.28099762905088</v>
      </c>
      <c r="Z24" s="64">
        <f t="shared" si="22"/>
        <v>60.785575857440186</v>
      </c>
      <c r="AB24" s="70">
        <f t="shared" si="5"/>
        <v>5</v>
      </c>
      <c r="AC24" s="4"/>
    </row>
    <row r="25" spans="1:29" ht="20" customHeight="1">
      <c r="A25" s="35">
        <f t="shared" si="6"/>
        <v>20</v>
      </c>
      <c r="B25" s="24">
        <v>41414</v>
      </c>
      <c r="C25" s="74">
        <v>0.14444444444444446</v>
      </c>
      <c r="D25" s="76">
        <v>61</v>
      </c>
      <c r="E25" s="75">
        <v>43</v>
      </c>
      <c r="F25" s="36">
        <v>0</v>
      </c>
      <c r="G25" s="29">
        <v>0</v>
      </c>
      <c r="H25" s="37"/>
      <c r="I25" s="82">
        <v>1</v>
      </c>
      <c r="J25" s="82">
        <v>5</v>
      </c>
      <c r="K25" s="83">
        <v>2</v>
      </c>
      <c r="L25" s="84">
        <v>10.4</v>
      </c>
      <c r="M25" s="38"/>
      <c r="N25" s="39"/>
      <c r="O25" s="61">
        <f t="shared" si="15"/>
        <v>50.999999998603016</v>
      </c>
      <c r="P25" s="64">
        <f t="shared" si="16"/>
        <v>12.483333333337214</v>
      </c>
      <c r="Q25" s="61">
        <f t="shared" si="17"/>
        <v>0</v>
      </c>
      <c r="R25" s="62">
        <f t="shared" si="1"/>
        <v>4138</v>
      </c>
      <c r="S25" s="63">
        <f t="shared" si="18"/>
        <v>15944.587155963303</v>
      </c>
      <c r="T25" s="88">
        <f t="shared" si="14"/>
        <v>98.361156933722981</v>
      </c>
      <c r="U25" s="61">
        <f t="shared" si="19"/>
        <v>15683.280394911302</v>
      </c>
      <c r="V25" s="64">
        <f t="shared" si="20"/>
        <v>57.187858623300606</v>
      </c>
      <c r="W25" s="64">
        <f t="shared" si="21"/>
        <v>0.40100000000000008</v>
      </c>
      <c r="X25" s="72">
        <f t="shared" si="10"/>
        <v>4.5232220252288548E-2</v>
      </c>
      <c r="Y25" s="64">
        <f t="shared" si="11"/>
        <v>16.518160200654869</v>
      </c>
      <c r="Z25" s="64">
        <f t="shared" si="22"/>
        <v>73.706018823955475</v>
      </c>
      <c r="AB25" s="70">
        <f t="shared" si="5"/>
        <v>4.3</v>
      </c>
      <c r="AC25" s="4"/>
    </row>
    <row r="26" spans="1:29" ht="20" customHeight="1">
      <c r="A26" s="35">
        <f t="shared" si="6"/>
        <v>21</v>
      </c>
      <c r="B26" s="24">
        <v>41414</v>
      </c>
      <c r="C26" s="74">
        <v>0.14722222222222223</v>
      </c>
      <c r="D26" s="76">
        <v>45</v>
      </c>
      <c r="E26" s="75">
        <v>43</v>
      </c>
      <c r="F26" s="36">
        <v>1900</v>
      </c>
      <c r="G26" s="29">
        <v>1</v>
      </c>
      <c r="H26" s="37"/>
      <c r="I26" s="31">
        <v>1</v>
      </c>
      <c r="J26" s="31">
        <v>1</v>
      </c>
      <c r="K26" s="32">
        <v>0</v>
      </c>
      <c r="L26" s="84">
        <v>10.4</v>
      </c>
      <c r="M26" s="38" t="s">
        <v>60</v>
      </c>
      <c r="N26" s="39"/>
      <c r="O26" s="61">
        <f t="shared" si="15"/>
        <v>4.0000000025611371</v>
      </c>
      <c r="P26" s="64">
        <f t="shared" si="16"/>
        <v>12.550000000046566</v>
      </c>
      <c r="Q26" s="61">
        <f t="shared" si="17"/>
        <v>1852.2385321100919</v>
      </c>
      <c r="R26" s="62">
        <f t="shared" si="1"/>
        <v>4140</v>
      </c>
      <c r="S26" s="63">
        <f t="shared" si="18"/>
        <v>0</v>
      </c>
      <c r="T26" s="88">
        <v>98.406291459747038</v>
      </c>
      <c r="U26" s="61">
        <f t="shared" si="19"/>
        <v>1822.7192484379973</v>
      </c>
      <c r="V26" s="64">
        <f t="shared" si="20"/>
        <v>59.010577871738604</v>
      </c>
      <c r="W26" s="64">
        <f t="shared" si="21"/>
        <v>0.40200000000000008</v>
      </c>
      <c r="X26" s="72">
        <f t="shared" si="10"/>
        <v>4.5232220252288548E-2</v>
      </c>
      <c r="Y26" s="64">
        <f t="shared" si="11"/>
        <v>16.767348692724831</v>
      </c>
      <c r="Z26" s="64">
        <f t="shared" si="22"/>
        <v>75.777926564463428</v>
      </c>
      <c r="AB26" s="70">
        <f t="shared" si="5"/>
        <v>4.3</v>
      </c>
      <c r="AC26" s="4"/>
    </row>
    <row r="27" spans="1:29" ht="20" customHeight="1">
      <c r="A27" s="35">
        <f t="shared" si="6"/>
        <v>22</v>
      </c>
      <c r="B27" s="24">
        <v>41414</v>
      </c>
      <c r="C27" s="74">
        <v>0.15069444444444444</v>
      </c>
      <c r="D27" s="76">
        <v>45</v>
      </c>
      <c r="E27" s="75">
        <v>32</v>
      </c>
      <c r="F27" s="36">
        <v>0</v>
      </c>
      <c r="G27" s="29">
        <v>0</v>
      </c>
      <c r="H27" s="37"/>
      <c r="I27" s="82">
        <v>1</v>
      </c>
      <c r="J27" s="82">
        <v>4</v>
      </c>
      <c r="K27" s="83">
        <f>42*0.75</f>
        <v>31.5</v>
      </c>
      <c r="L27" s="84">
        <v>10.4</v>
      </c>
      <c r="M27" s="38"/>
      <c r="N27" s="39"/>
      <c r="O27" s="61">
        <f t="shared" si="15"/>
        <v>4.9999999953433871</v>
      </c>
      <c r="P27" s="64">
        <f t="shared" si="16"/>
        <v>12.633333333302289</v>
      </c>
      <c r="Q27" s="61">
        <f t="shared" si="17"/>
        <v>0</v>
      </c>
      <c r="R27" s="62">
        <f t="shared" si="1"/>
        <v>4108.5</v>
      </c>
      <c r="S27" s="63">
        <f t="shared" si="18"/>
        <v>11873.188073394496</v>
      </c>
      <c r="T27" s="88">
        <f t="shared" si="14"/>
        <v>98.406291459747038</v>
      </c>
      <c r="U27" s="61">
        <f t="shared" si="19"/>
        <v>11683.964061068513</v>
      </c>
      <c r="V27" s="64">
        <f t="shared" si="20"/>
        <v>70.694541932807113</v>
      </c>
      <c r="W27" s="64">
        <f t="shared" si="21"/>
        <v>0.43350000000000011</v>
      </c>
      <c r="X27" s="72">
        <f t="shared" si="10"/>
        <v>5.3936620906098451E-2</v>
      </c>
      <c r="Y27" s="64">
        <f t="shared" si="11"/>
        <v>13.288611823456346</v>
      </c>
      <c r="Z27" s="64">
        <f t="shared" si="22"/>
        <v>83.983153756263462</v>
      </c>
      <c r="AB27" s="70">
        <f t="shared" si="5"/>
        <v>3.2</v>
      </c>
      <c r="AC27" s="4"/>
    </row>
    <row r="28" spans="1:29" ht="20" customHeight="1">
      <c r="A28" s="35">
        <f t="shared" si="6"/>
        <v>23</v>
      </c>
      <c r="B28" s="24">
        <v>41414</v>
      </c>
      <c r="C28" s="74">
        <v>0.18472222222222223</v>
      </c>
      <c r="D28" s="76">
        <v>48</v>
      </c>
      <c r="E28" s="75">
        <v>42</v>
      </c>
      <c r="F28" s="36">
        <v>0</v>
      </c>
      <c r="G28" s="29">
        <v>0</v>
      </c>
      <c r="I28" s="82">
        <v>4</v>
      </c>
      <c r="J28" s="82">
        <v>5</v>
      </c>
      <c r="K28" s="83">
        <f>42*0.25</f>
        <v>10.5</v>
      </c>
      <c r="L28" s="84">
        <v>10.4</v>
      </c>
      <c r="M28" s="38"/>
      <c r="N28" s="39"/>
      <c r="O28" s="61">
        <f t="shared" ref="O28:O40" si="23">((B28 +C28) - (B27 + C27)) * 24 * 60</f>
        <v>49.000000002561137</v>
      </c>
      <c r="P28" s="64">
        <f t="shared" ref="P28:P40" si="24">P27+O28/60</f>
        <v>13.450000000011642</v>
      </c>
      <c r="Q28" s="61">
        <f t="shared" ref="Q28:Q40" si="25">F28*$F$2/1000*273/(273+L28)</f>
        <v>0</v>
      </c>
      <c r="R28" s="62">
        <f>$N$2-(K28+K27)</f>
        <v>4098</v>
      </c>
      <c r="S28" s="63">
        <f t="shared" ref="S28:S40" si="26">IF(I28=J28,0,R28*(J28-I28))*273/(273+L28)</f>
        <v>3947.6146788990827</v>
      </c>
      <c r="T28" s="88">
        <f t="shared" si="14"/>
        <v>98.406291459747038</v>
      </c>
      <c r="U28" s="61">
        <f t="shared" ref="U28:U40" si="27">(S28+Q28)*T28/100</f>
        <v>3884.7012066251882</v>
      </c>
      <c r="V28" s="64">
        <f t="shared" ref="V28:V40" si="28">V27+U28/1000</f>
        <v>74.579243139432307</v>
      </c>
      <c r="W28" s="64">
        <f t="shared" ref="W28:W40" si="29">W27+(G28+K28)/1000</f>
        <v>0.44400000000000012</v>
      </c>
      <c r="X28" s="72">
        <f t="shared" ref="X28:X40" si="30">X$2/1000*EXP(-0.016*E28)</f>
        <v>4.5961756502956905E-2</v>
      </c>
      <c r="Y28" s="64">
        <f t="shared" ref="Y28:Y40" si="31">(W28-(X28-X27))*(E28+1)*1*273/(273+L28)*T28/100</f>
        <v>18.423341617320411</v>
      </c>
      <c r="Z28" s="64">
        <f t="shared" ref="Z28:Z40" si="32">V28+Y28</f>
        <v>93.002584756752725</v>
      </c>
      <c r="AB28" s="70">
        <f t="shared" ref="AB28:AB40" si="33">E28/10</f>
        <v>4.2</v>
      </c>
      <c r="AC28" s="4"/>
    </row>
    <row r="29" spans="1:29" ht="20" customHeight="1">
      <c r="A29" s="35">
        <f>A28+1</f>
        <v>24</v>
      </c>
      <c r="B29" s="24">
        <v>41414</v>
      </c>
      <c r="C29" s="74">
        <v>0.18819444444444444</v>
      </c>
      <c r="D29" s="76">
        <v>42</v>
      </c>
      <c r="E29" s="75">
        <v>40</v>
      </c>
      <c r="F29" s="36">
        <v>1940</v>
      </c>
      <c r="G29" s="29">
        <v>0</v>
      </c>
      <c r="I29" s="31">
        <v>1</v>
      </c>
      <c r="J29" s="31">
        <v>1</v>
      </c>
      <c r="K29" s="32">
        <v>0</v>
      </c>
      <c r="L29" s="84">
        <v>10.4</v>
      </c>
      <c r="M29" s="38" t="s">
        <v>61</v>
      </c>
      <c r="N29" s="39"/>
      <c r="O29" s="61">
        <f t="shared" si="23"/>
        <v>5.0000000058207661</v>
      </c>
      <c r="P29" s="64">
        <f t="shared" si="24"/>
        <v>13.533333333441988</v>
      </c>
      <c r="Q29" s="61">
        <f t="shared" si="25"/>
        <v>1891.2330275229358</v>
      </c>
      <c r="R29" s="62">
        <f t="shared" si="1"/>
        <v>4140</v>
      </c>
      <c r="S29" s="63">
        <f t="shared" si="26"/>
        <v>0</v>
      </c>
      <c r="T29" s="88">
        <v>98.498217468805706</v>
      </c>
      <c r="U29" s="61">
        <f t="shared" si="27"/>
        <v>1862.8308202914195</v>
      </c>
      <c r="V29" s="64">
        <f t="shared" si="28"/>
        <v>76.442073959723729</v>
      </c>
      <c r="W29" s="64">
        <f t="shared" si="29"/>
        <v>0.44400000000000012</v>
      </c>
      <c r="X29" s="72">
        <f t="shared" si="30"/>
        <v>4.745631816387437E-2</v>
      </c>
      <c r="Y29" s="64">
        <f t="shared" si="31"/>
        <v>17.214469416521791</v>
      </c>
      <c r="Z29" s="64">
        <f t="shared" si="32"/>
        <v>93.656543376245523</v>
      </c>
      <c r="AB29" s="70">
        <f t="shared" si="33"/>
        <v>4</v>
      </c>
      <c r="AC29" s="4"/>
    </row>
    <row r="30" spans="1:29" ht="20" customHeight="1">
      <c r="A30" s="77">
        <f t="shared" ref="A30:A40" si="34">A29+1</f>
        <v>25</v>
      </c>
      <c r="B30" s="78">
        <v>41414</v>
      </c>
      <c r="C30" s="79">
        <v>0.19097222222222221</v>
      </c>
      <c r="D30" s="76">
        <v>42</v>
      </c>
      <c r="E30" s="75">
        <v>28</v>
      </c>
      <c r="F30" s="80">
        <v>0</v>
      </c>
      <c r="G30" s="81">
        <v>0</v>
      </c>
      <c r="I30" s="85">
        <v>1</v>
      </c>
      <c r="J30" s="85">
        <v>3.9</v>
      </c>
      <c r="K30" s="86">
        <f>2.9/4*28</f>
        <v>20.3</v>
      </c>
      <c r="L30" s="87">
        <v>10.4</v>
      </c>
      <c r="M30" s="76"/>
      <c r="N30" s="39"/>
      <c r="O30" s="61">
        <f t="shared" si="23"/>
        <v>3.9999999920837581</v>
      </c>
      <c r="P30" s="64">
        <f t="shared" si="24"/>
        <v>13.599999999976717</v>
      </c>
      <c r="Q30" s="61">
        <f t="shared" si="25"/>
        <v>0</v>
      </c>
      <c r="R30" s="62">
        <f t="shared" si="1"/>
        <v>4119.7</v>
      </c>
      <c r="S30" s="63">
        <f t="shared" si="26"/>
        <v>11508.703211009175</v>
      </c>
      <c r="T30" s="88">
        <f t="shared" si="14"/>
        <v>98.498217468805706</v>
      </c>
      <c r="U30" s="61">
        <f t="shared" si="27"/>
        <v>11335.867516619242</v>
      </c>
      <c r="V30" s="64">
        <f t="shared" si="28"/>
        <v>87.777941476342974</v>
      </c>
      <c r="W30" s="64">
        <f t="shared" si="29"/>
        <v>0.4643000000000001</v>
      </c>
      <c r="X30" s="72">
        <f t="shared" si="30"/>
        <v>5.7501421562872461E-2</v>
      </c>
      <c r="Y30" s="64">
        <f t="shared" si="31"/>
        <v>12.499389097857929</v>
      </c>
      <c r="Z30" s="64">
        <f t="shared" si="32"/>
        <v>100.2773305742009</v>
      </c>
      <c r="AB30" s="70">
        <f t="shared" si="33"/>
        <v>2.8</v>
      </c>
      <c r="AC30" s="4"/>
    </row>
    <row r="31" spans="1:29" ht="20" customHeight="1">
      <c r="A31" s="35">
        <f t="shared" si="34"/>
        <v>26</v>
      </c>
      <c r="B31" s="24">
        <v>41414</v>
      </c>
      <c r="C31" s="74">
        <v>0.23958333333333334</v>
      </c>
      <c r="D31" s="76">
        <v>39</v>
      </c>
      <c r="E31" s="75">
        <v>33</v>
      </c>
      <c r="F31" s="36">
        <v>0</v>
      </c>
      <c r="G31" s="29">
        <v>0</v>
      </c>
      <c r="I31" s="82">
        <v>3.9</v>
      </c>
      <c r="J31" s="82">
        <v>5</v>
      </c>
      <c r="K31" s="86">
        <f>1.1/4*28</f>
        <v>7.7000000000000011</v>
      </c>
      <c r="L31" s="84">
        <v>10.3</v>
      </c>
      <c r="M31" s="38"/>
      <c r="N31" s="39"/>
      <c r="O31" s="61">
        <f t="shared" si="23"/>
        <v>70.000000008149073</v>
      </c>
      <c r="P31" s="64">
        <f t="shared" si="24"/>
        <v>14.766666666779201</v>
      </c>
      <c r="Q31" s="61">
        <f t="shared" si="25"/>
        <v>0</v>
      </c>
      <c r="R31" s="62">
        <f>$N$2-(K31+K30)</f>
        <v>4112</v>
      </c>
      <c r="S31" s="63">
        <f t="shared" si="26"/>
        <v>4358.7490292975644</v>
      </c>
      <c r="T31" s="88">
        <f t="shared" si="14"/>
        <v>98.498217468805706</v>
      </c>
      <c r="U31" s="61">
        <f t="shared" si="27"/>
        <v>4293.290097796973</v>
      </c>
      <c r="V31" s="64">
        <f t="shared" si="28"/>
        <v>92.071231574139944</v>
      </c>
      <c r="W31" s="64">
        <f t="shared" si="29"/>
        <v>0.47200000000000009</v>
      </c>
      <c r="X31" s="72">
        <f t="shared" si="30"/>
        <v>5.3080502185156531E-2</v>
      </c>
      <c r="Y31" s="64">
        <f t="shared" si="31"/>
        <v>15.374966689206991</v>
      </c>
      <c r="Z31" s="64">
        <f t="shared" si="32"/>
        <v>107.44619826334693</v>
      </c>
      <c r="AB31" s="70">
        <f t="shared" si="33"/>
        <v>3.3</v>
      </c>
      <c r="AC31" s="4"/>
    </row>
    <row r="32" spans="1:29" ht="20" customHeight="1">
      <c r="A32" s="35">
        <f t="shared" si="34"/>
        <v>27</v>
      </c>
      <c r="B32" s="24">
        <v>41414</v>
      </c>
      <c r="C32" s="74">
        <v>0.24166666666666667</v>
      </c>
      <c r="D32" s="76">
        <v>33</v>
      </c>
      <c r="E32" s="75">
        <v>31</v>
      </c>
      <c r="F32" s="36">
        <v>1940</v>
      </c>
      <c r="G32" s="29">
        <v>0</v>
      </c>
      <c r="I32" s="31">
        <v>1</v>
      </c>
      <c r="J32" s="31">
        <v>1</v>
      </c>
      <c r="K32" s="32">
        <v>0</v>
      </c>
      <c r="L32" s="84">
        <v>10.4</v>
      </c>
      <c r="M32" s="38" t="s">
        <v>62</v>
      </c>
      <c r="N32" s="39"/>
      <c r="O32" s="61">
        <f t="shared" si="23"/>
        <v>2.9999999993015081</v>
      </c>
      <c r="P32" s="64">
        <f t="shared" si="24"/>
        <v>14.81666666676756</v>
      </c>
      <c r="Q32" s="61">
        <f t="shared" si="25"/>
        <v>1891.2330275229358</v>
      </c>
      <c r="R32" s="62">
        <f t="shared" si="1"/>
        <v>4140</v>
      </c>
      <c r="S32" s="63">
        <f t="shared" si="26"/>
        <v>0</v>
      </c>
      <c r="T32" s="88">
        <v>98.561209288203571</v>
      </c>
      <c r="U32" s="61">
        <f t="shared" si="27"/>
        <v>1864.0221423845096</v>
      </c>
      <c r="V32" s="64">
        <f t="shared" si="28"/>
        <v>93.935253716524457</v>
      </c>
      <c r="W32" s="64">
        <f t="shared" si="29"/>
        <v>0.47200000000000009</v>
      </c>
      <c r="X32" s="72">
        <f t="shared" si="30"/>
        <v>5.4806547696560716E-2</v>
      </c>
      <c r="Y32" s="64">
        <f t="shared" si="31"/>
        <v>14.287943672278518</v>
      </c>
      <c r="Z32" s="64">
        <f t="shared" si="32"/>
        <v>108.22319738880297</v>
      </c>
      <c r="AB32" s="70">
        <f t="shared" si="33"/>
        <v>3.1</v>
      </c>
      <c r="AC32" s="4"/>
    </row>
    <row r="33" spans="1:29" ht="20" customHeight="1">
      <c r="A33" s="35">
        <f t="shared" si="34"/>
        <v>28</v>
      </c>
      <c r="B33" s="24">
        <v>41414</v>
      </c>
      <c r="C33" s="74">
        <v>0.24444444444444446</v>
      </c>
      <c r="D33" s="76">
        <v>31</v>
      </c>
      <c r="E33" s="75">
        <v>10</v>
      </c>
      <c r="F33" s="36">
        <v>0</v>
      </c>
      <c r="G33" s="29">
        <v>0</v>
      </c>
      <c r="I33" s="82">
        <v>1</v>
      </c>
      <c r="J33" s="82">
        <v>5</v>
      </c>
      <c r="K33" s="83">
        <v>230</v>
      </c>
      <c r="L33" s="84">
        <v>10.4</v>
      </c>
      <c r="M33" s="38"/>
      <c r="N33" s="39"/>
      <c r="O33" s="61">
        <f t="shared" si="23"/>
        <v>3.9999999920837581</v>
      </c>
      <c r="P33" s="64">
        <f t="shared" si="24"/>
        <v>14.883333333302289</v>
      </c>
      <c r="Q33" s="61">
        <f t="shared" si="25"/>
        <v>0</v>
      </c>
      <c r="R33" s="62">
        <f t="shared" si="1"/>
        <v>3910</v>
      </c>
      <c r="S33" s="63">
        <f t="shared" si="26"/>
        <v>15066.055045871561</v>
      </c>
      <c r="T33" s="88">
        <f t="shared" si="14"/>
        <v>98.561209288203571</v>
      </c>
      <c r="U33" s="61">
        <f t="shared" si="27"/>
        <v>14849.286045237423</v>
      </c>
      <c r="V33" s="64">
        <f t="shared" si="28"/>
        <v>108.78453976176188</v>
      </c>
      <c r="W33" s="64">
        <f t="shared" si="29"/>
        <v>0.70200000000000007</v>
      </c>
      <c r="X33" s="72">
        <f t="shared" si="30"/>
        <v>7.6692941006959017E-2</v>
      </c>
      <c r="Y33" s="64">
        <f t="shared" si="31"/>
        <v>7.1030189500583099</v>
      </c>
      <c r="Z33" s="64">
        <f t="shared" si="32"/>
        <v>115.88755871182019</v>
      </c>
      <c r="AB33" s="70">
        <f t="shared" si="33"/>
        <v>1</v>
      </c>
      <c r="AC33" s="4"/>
    </row>
    <row r="34" spans="1:29" ht="20" customHeight="1">
      <c r="A34" s="35">
        <f t="shared" si="34"/>
        <v>29</v>
      </c>
      <c r="B34" s="24">
        <v>41414</v>
      </c>
      <c r="C34" s="74">
        <v>0.29375000000000001</v>
      </c>
      <c r="D34" s="76">
        <v>11</v>
      </c>
      <c r="E34" s="75">
        <v>9</v>
      </c>
      <c r="F34" s="36">
        <v>1880</v>
      </c>
      <c r="G34" s="29">
        <v>0</v>
      </c>
      <c r="I34" s="31">
        <v>1</v>
      </c>
      <c r="J34" s="31">
        <v>1</v>
      </c>
      <c r="K34" s="32">
        <v>0</v>
      </c>
      <c r="L34" s="84">
        <v>10.4</v>
      </c>
      <c r="M34" s="38" t="s">
        <v>63</v>
      </c>
      <c r="N34" s="39" t="s">
        <v>64</v>
      </c>
      <c r="O34" s="61">
        <f t="shared" si="23"/>
        <v>71.000000000931323</v>
      </c>
      <c r="P34" s="64">
        <f t="shared" si="24"/>
        <v>16.066666666651145</v>
      </c>
      <c r="Q34" s="61">
        <f t="shared" si="25"/>
        <v>1832.7412844036699</v>
      </c>
      <c r="R34" s="62">
        <f t="shared" si="1"/>
        <v>4140</v>
      </c>
      <c r="S34" s="63">
        <f t="shared" si="26"/>
        <v>0</v>
      </c>
      <c r="T34" s="88">
        <v>98.365870359166607</v>
      </c>
      <c r="U34" s="61">
        <f t="shared" si="27"/>
        <v>1802.7919158354387</v>
      </c>
      <c r="V34" s="64">
        <f t="shared" si="28"/>
        <v>110.58733167759732</v>
      </c>
      <c r="W34" s="64">
        <f t="shared" si="29"/>
        <v>0.70200000000000007</v>
      </c>
      <c r="X34" s="72">
        <f t="shared" si="30"/>
        <v>7.7929897325328443E-2</v>
      </c>
      <c r="Y34" s="64">
        <f t="shared" si="31"/>
        <v>6.6401582607932479</v>
      </c>
      <c r="Z34" s="64">
        <f t="shared" si="32"/>
        <v>117.22748993839056</v>
      </c>
      <c r="AB34" s="70">
        <f t="shared" si="33"/>
        <v>0.9</v>
      </c>
      <c r="AC34" s="4"/>
    </row>
    <row r="35" spans="1:29" ht="20" customHeight="1">
      <c r="A35" s="35">
        <f t="shared" si="34"/>
        <v>30</v>
      </c>
      <c r="B35" s="24">
        <v>41414</v>
      </c>
      <c r="C35" s="74">
        <v>0.29583333333333334</v>
      </c>
      <c r="D35" s="76">
        <v>9</v>
      </c>
      <c r="E35" s="75">
        <v>7</v>
      </c>
      <c r="F35" s="36">
        <v>1920</v>
      </c>
      <c r="G35" s="29">
        <v>0</v>
      </c>
      <c r="I35" s="31">
        <v>1</v>
      </c>
      <c r="J35" s="31">
        <v>1</v>
      </c>
      <c r="K35" s="32">
        <v>0</v>
      </c>
      <c r="L35" s="84">
        <v>10.4</v>
      </c>
      <c r="M35" s="38"/>
      <c r="N35" s="39"/>
      <c r="O35" s="61">
        <f t="shared" si="23"/>
        <v>2.9999999993015081</v>
      </c>
      <c r="P35" s="64">
        <f t="shared" si="24"/>
        <v>16.116666666639503</v>
      </c>
      <c r="Q35" s="61">
        <f t="shared" si="25"/>
        <v>1871.735779816514</v>
      </c>
      <c r="R35" s="62">
        <f t="shared" si="1"/>
        <v>4140</v>
      </c>
      <c r="S35" s="63">
        <f t="shared" si="26"/>
        <v>0</v>
      </c>
      <c r="T35" s="88">
        <f t="shared" si="14"/>
        <v>98.365870359166607</v>
      </c>
      <c r="U35" s="61">
        <f t="shared" si="27"/>
        <v>1841.1491906404483</v>
      </c>
      <c r="V35" s="64">
        <f t="shared" si="28"/>
        <v>112.42848086823777</v>
      </c>
      <c r="W35" s="64">
        <f t="shared" si="29"/>
        <v>0.70200000000000007</v>
      </c>
      <c r="X35" s="72">
        <f t="shared" si="30"/>
        <v>8.0463983175032144E-2</v>
      </c>
      <c r="Y35" s="64">
        <f t="shared" si="31"/>
        <v>5.3022937323715391</v>
      </c>
      <c r="Z35" s="64">
        <f t="shared" si="32"/>
        <v>117.73077460060931</v>
      </c>
      <c r="AB35" s="70">
        <f t="shared" si="33"/>
        <v>0.7</v>
      </c>
      <c r="AC35" s="4"/>
    </row>
    <row r="36" spans="1:29" ht="20" customHeight="1">
      <c r="A36" s="35">
        <f t="shared" si="34"/>
        <v>31</v>
      </c>
      <c r="B36" s="24">
        <v>41414</v>
      </c>
      <c r="C36" s="74">
        <v>0.29791666666666666</v>
      </c>
      <c r="D36" s="76">
        <v>7</v>
      </c>
      <c r="E36" s="75">
        <v>6</v>
      </c>
      <c r="F36" s="36">
        <v>1760</v>
      </c>
      <c r="G36" s="29">
        <v>0</v>
      </c>
      <c r="I36" s="31">
        <v>1</v>
      </c>
      <c r="J36" s="31">
        <v>1</v>
      </c>
      <c r="K36" s="32">
        <v>0</v>
      </c>
      <c r="L36" s="84">
        <v>10.4</v>
      </c>
      <c r="M36" s="38"/>
      <c r="N36" s="39"/>
      <c r="O36" s="61">
        <f t="shared" si="23"/>
        <v>3.000000009778887</v>
      </c>
      <c r="P36" s="64">
        <f t="shared" si="24"/>
        <v>16.166666666802485</v>
      </c>
      <c r="Q36" s="61">
        <f t="shared" si="25"/>
        <v>1715.7577981651375</v>
      </c>
      <c r="R36" s="62">
        <f t="shared" si="1"/>
        <v>4140</v>
      </c>
      <c r="S36" s="63">
        <f t="shared" si="26"/>
        <v>0</v>
      </c>
      <c r="T36" s="88">
        <f t="shared" si="14"/>
        <v>98.365870359166607</v>
      </c>
      <c r="U36" s="61">
        <f t="shared" si="27"/>
        <v>1687.7200914204107</v>
      </c>
      <c r="V36" s="64">
        <f t="shared" si="28"/>
        <v>114.11620095965819</v>
      </c>
      <c r="W36" s="64">
        <f t="shared" si="29"/>
        <v>0.70200000000000007</v>
      </c>
      <c r="X36" s="72">
        <f t="shared" si="30"/>
        <v>8.1761761446183551E-2</v>
      </c>
      <c r="Y36" s="64">
        <f t="shared" si="31"/>
        <v>4.6477073549243642</v>
      </c>
      <c r="Z36" s="64">
        <f t="shared" si="32"/>
        <v>118.76390831458255</v>
      </c>
      <c r="AB36" s="70">
        <f t="shared" si="33"/>
        <v>0.6</v>
      </c>
      <c r="AC36" s="4"/>
    </row>
    <row r="37" spans="1:29" ht="20" customHeight="1">
      <c r="A37" s="35">
        <f t="shared" si="34"/>
        <v>32</v>
      </c>
      <c r="B37" s="24">
        <v>41414</v>
      </c>
      <c r="C37" s="74">
        <v>0.3</v>
      </c>
      <c r="D37" s="76">
        <v>6</v>
      </c>
      <c r="E37" s="75">
        <v>3</v>
      </c>
      <c r="F37" s="36">
        <v>1960</v>
      </c>
      <c r="G37" s="29">
        <v>131</v>
      </c>
      <c r="I37" s="31">
        <v>1</v>
      </c>
      <c r="J37" s="31">
        <v>1</v>
      </c>
      <c r="K37" s="32">
        <v>0</v>
      </c>
      <c r="L37" s="84">
        <v>10.4</v>
      </c>
      <c r="M37" s="38" t="s">
        <v>65</v>
      </c>
      <c r="N37" s="39"/>
      <c r="O37" s="61">
        <f t="shared" si="23"/>
        <v>2.9999999993015081</v>
      </c>
      <c r="P37" s="64">
        <f t="shared" si="24"/>
        <v>16.216666666790843</v>
      </c>
      <c r="Q37" s="61">
        <f t="shared" si="25"/>
        <v>1910.7302752293579</v>
      </c>
      <c r="R37" s="62">
        <f t="shared" si="1"/>
        <v>4140</v>
      </c>
      <c r="S37" s="63">
        <f t="shared" si="26"/>
        <v>0</v>
      </c>
      <c r="T37" s="88">
        <v>98.365870359166607</v>
      </c>
      <c r="U37" s="61">
        <f t="shared" si="27"/>
        <v>1879.5064654454575</v>
      </c>
      <c r="V37" s="64">
        <f t="shared" si="28"/>
        <v>115.99570742510365</v>
      </c>
      <c r="W37" s="64">
        <f t="shared" si="29"/>
        <v>0.83300000000000007</v>
      </c>
      <c r="X37" s="72">
        <f t="shared" si="30"/>
        <v>8.5782040836975423E-2</v>
      </c>
      <c r="Y37" s="64">
        <f t="shared" si="31"/>
        <v>3.1420358647418238</v>
      </c>
      <c r="Z37" s="64">
        <f t="shared" si="32"/>
        <v>119.13774328984547</v>
      </c>
      <c r="AB37" s="70">
        <f t="shared" si="33"/>
        <v>0.3</v>
      </c>
      <c r="AC37" s="4"/>
    </row>
    <row r="38" spans="1:29" ht="20" customHeight="1">
      <c r="A38" s="35">
        <f t="shared" si="34"/>
        <v>33</v>
      </c>
      <c r="B38" s="24">
        <v>41414</v>
      </c>
      <c r="C38" s="74">
        <v>0.30277777777777776</v>
      </c>
      <c r="D38" s="76">
        <v>3</v>
      </c>
      <c r="E38" s="75">
        <v>2</v>
      </c>
      <c r="F38" s="36">
        <v>1360</v>
      </c>
      <c r="G38" s="29">
        <v>25</v>
      </c>
      <c r="I38" s="31">
        <v>1</v>
      </c>
      <c r="J38" s="31">
        <v>1</v>
      </c>
      <c r="K38" s="32">
        <v>0</v>
      </c>
      <c r="L38" s="84">
        <v>10.4</v>
      </c>
      <c r="M38" s="38"/>
      <c r="N38" s="39"/>
      <c r="O38" s="61">
        <f t="shared" si="23"/>
        <v>3.9999999920837581</v>
      </c>
      <c r="P38" s="64">
        <f t="shared" si="24"/>
        <v>16.283333333325572</v>
      </c>
      <c r="Q38" s="61">
        <f t="shared" si="25"/>
        <v>1325.8128440366972</v>
      </c>
      <c r="R38" s="62">
        <f t="shared" si="1"/>
        <v>4140</v>
      </c>
      <c r="S38" s="63">
        <f t="shared" si="26"/>
        <v>0</v>
      </c>
      <c r="T38" s="88">
        <f t="shared" si="14"/>
        <v>98.365870359166607</v>
      </c>
      <c r="U38" s="61">
        <f t="shared" si="27"/>
        <v>1304.1473433703175</v>
      </c>
      <c r="V38" s="64">
        <f t="shared" si="28"/>
        <v>117.29985476847396</v>
      </c>
      <c r="W38" s="64">
        <f t="shared" si="29"/>
        <v>0.8580000000000001</v>
      </c>
      <c r="X38" s="72">
        <f t="shared" si="30"/>
        <v>8.7165592387127774E-2</v>
      </c>
      <c r="Y38" s="64">
        <f t="shared" si="31"/>
        <v>2.4350893662807751</v>
      </c>
      <c r="Z38" s="64">
        <f t="shared" si="32"/>
        <v>119.73494413475474</v>
      </c>
      <c r="AB38" s="70">
        <f t="shared" si="33"/>
        <v>0.2</v>
      </c>
      <c r="AC38" s="4"/>
    </row>
    <row r="39" spans="1:29" ht="20" customHeight="1">
      <c r="A39" s="35">
        <f t="shared" si="34"/>
        <v>34</v>
      </c>
      <c r="B39" s="24">
        <v>41414</v>
      </c>
      <c r="C39" s="74">
        <v>0.37291666666666662</v>
      </c>
      <c r="D39" s="76">
        <v>2</v>
      </c>
      <c r="E39" s="75">
        <v>1</v>
      </c>
      <c r="F39" s="36">
        <v>1830</v>
      </c>
      <c r="G39" s="29">
        <v>83</v>
      </c>
      <c r="I39" s="31">
        <v>1</v>
      </c>
      <c r="J39" s="31">
        <v>1</v>
      </c>
      <c r="K39" s="32">
        <v>0</v>
      </c>
      <c r="L39" s="84">
        <v>10.4</v>
      </c>
      <c r="M39" s="38"/>
      <c r="N39" s="39"/>
      <c r="O39" s="61">
        <f t="shared" si="23"/>
        <v>101.00000000442378</v>
      </c>
      <c r="P39" s="64">
        <f t="shared" si="24"/>
        <v>17.966666666732635</v>
      </c>
      <c r="Q39" s="61">
        <f t="shared" si="25"/>
        <v>1783.9981651376149</v>
      </c>
      <c r="R39" s="62">
        <f t="shared" si="1"/>
        <v>4140</v>
      </c>
      <c r="S39" s="63">
        <f t="shared" si="26"/>
        <v>0</v>
      </c>
      <c r="T39" s="88">
        <f t="shared" si="14"/>
        <v>98.365870359166607</v>
      </c>
      <c r="U39" s="61">
        <f t="shared" si="27"/>
        <v>1754.8453223291772</v>
      </c>
      <c r="V39" s="64">
        <f t="shared" si="28"/>
        <v>119.05470009080314</v>
      </c>
      <c r="W39" s="64">
        <f t="shared" si="29"/>
        <v>0.94100000000000006</v>
      </c>
      <c r="X39" s="72">
        <f t="shared" si="30"/>
        <v>8.8571458804975661E-2</v>
      </c>
      <c r="Y39" s="64">
        <f t="shared" si="31"/>
        <v>1.7806457701079674</v>
      </c>
      <c r="Z39" s="64">
        <f t="shared" si="32"/>
        <v>120.8353458609111</v>
      </c>
      <c r="AB39" s="70">
        <f t="shared" si="33"/>
        <v>0.1</v>
      </c>
      <c r="AC39" s="4"/>
    </row>
    <row r="40" spans="1:29" ht="20" customHeight="1">
      <c r="A40" s="35">
        <f t="shared" si="34"/>
        <v>35</v>
      </c>
      <c r="B40" s="24">
        <v>41414</v>
      </c>
      <c r="C40" s="74">
        <v>0.37638888888888888</v>
      </c>
      <c r="D40" s="76">
        <v>1</v>
      </c>
      <c r="E40" s="75">
        <v>0</v>
      </c>
      <c r="F40" s="36">
        <v>840</v>
      </c>
      <c r="G40" s="29">
        <v>24</v>
      </c>
      <c r="I40" s="31">
        <v>1</v>
      </c>
      <c r="J40" s="31">
        <v>1</v>
      </c>
      <c r="K40" s="32">
        <v>0</v>
      </c>
      <c r="L40" s="84">
        <v>10.4</v>
      </c>
      <c r="M40" s="38"/>
      <c r="N40" s="39"/>
      <c r="O40" s="61">
        <f t="shared" si="23"/>
        <v>4.9999999953433871</v>
      </c>
      <c r="P40" s="64">
        <f t="shared" si="24"/>
        <v>18.049999999988358</v>
      </c>
      <c r="Q40" s="61">
        <f t="shared" si="25"/>
        <v>818.88440366972497</v>
      </c>
      <c r="R40" s="62">
        <f t="shared" si="1"/>
        <v>4140</v>
      </c>
      <c r="S40" s="63">
        <f t="shared" si="26"/>
        <v>0</v>
      </c>
      <c r="T40" s="88">
        <f t="shared" si="14"/>
        <v>98.365870359166607</v>
      </c>
      <c r="U40" s="61">
        <f t="shared" si="27"/>
        <v>805.50277090519626</v>
      </c>
      <c r="V40" s="64">
        <f t="shared" si="28"/>
        <v>119.86020286170833</v>
      </c>
      <c r="W40" s="64">
        <f t="shared" si="29"/>
        <v>0.96500000000000008</v>
      </c>
      <c r="X40" s="72">
        <f t="shared" si="30"/>
        <v>0.09</v>
      </c>
      <c r="Y40" s="64">
        <f t="shared" si="31"/>
        <v>0.91304286659205014</v>
      </c>
      <c r="Z40" s="64">
        <f t="shared" si="32"/>
        <v>120.77324572830038</v>
      </c>
      <c r="AB40" s="70">
        <f t="shared" si="33"/>
        <v>0</v>
      </c>
      <c r="AC40" s="4"/>
    </row>
    <row r="41" spans="1:29" ht="20" customHeight="1">
      <c r="AC41" s="4"/>
    </row>
    <row r="42" spans="1:29" ht="20" customHeight="1">
      <c r="AC42" s="4"/>
    </row>
    <row r="43" spans="1:29" ht="20" customHeight="1">
      <c r="AC43" s="4"/>
    </row>
    <row r="44" spans="1:29" ht="20" customHeight="1">
      <c r="AC44" s="4"/>
    </row>
    <row r="45" spans="1:29" ht="20" customHeight="1">
      <c r="AC45" s="4"/>
    </row>
    <row r="46" spans="1:29" ht="20" customHeight="1">
      <c r="AC46" s="4"/>
    </row>
    <row r="47" spans="1:29" ht="20" customHeight="1">
      <c r="AC47" s="4"/>
    </row>
    <row r="48" spans="1:29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</sheetData>
  <mergeCells count="22">
    <mergeCell ref="N4:N5"/>
    <mergeCell ref="W4:Y4"/>
    <mergeCell ref="U4:V4"/>
    <mergeCell ref="O4:P4"/>
    <mergeCell ref="Q3:S3"/>
    <mergeCell ref="R4:S4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M4:M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52"/>
  <sheetViews>
    <sheetView workbookViewId="0">
      <selection activeCell="O50" sqref="O50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31" ht="23.25" customHeight="1">
      <c r="A1" s="129" t="str">
        <f>CONCATENATE(M1," Depressurization Table")</f>
        <v>UT-GOM2-1-H005-9FB-2 Depressurization Table</v>
      </c>
      <c r="B1" s="129"/>
      <c r="C1" s="129"/>
      <c r="D1" s="129"/>
      <c r="E1" s="129"/>
      <c r="F1" s="129"/>
      <c r="G1" s="129"/>
      <c r="H1" s="129"/>
      <c r="I1" s="129"/>
      <c r="M1" s="22" t="s">
        <v>52</v>
      </c>
      <c r="N1" s="11"/>
      <c r="O1" s="11"/>
      <c r="P1" s="11"/>
      <c r="Q1" s="11"/>
      <c r="R1" s="11"/>
      <c r="S1" s="11"/>
      <c r="T1" s="11"/>
      <c r="U1" s="11"/>
    </row>
    <row r="2" spans="1:31" ht="20.25" customHeight="1">
      <c r="M2" s="10" t="s">
        <v>27</v>
      </c>
    </row>
    <row r="3" spans="1:3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31">
      <c r="A4" s="17">
        <f t="shared" ref="A4:A38" ca="1" si="0">INDIRECT(CONCATENATE("'",$M$1,"'!A",ROW()+2))</f>
        <v>1</v>
      </c>
      <c r="B4" s="18">
        <f t="shared" ref="B4:B38" ca="1" si="1">INDIRECT(CONCATENATE("'",$M$1,"'!D",ROW()+2))/10</f>
        <v>18.899999999999999</v>
      </c>
      <c r="C4" s="18">
        <f t="shared" ref="C4:C38" ca="1" si="2">INDIRECT(CONCATENATE("'",$M$1,"'!E",ROW()+2))/10</f>
        <v>18.899999999999999</v>
      </c>
      <c r="D4" s="19">
        <f ca="1">(INDIRECT(CONCATENATE("'",$M$1,"'!R",ROW()+2))+INDIRECT(CONCATENATE("'",$M$1,"'!T",ROW()+2)))/1000</f>
        <v>4.2379574928584107</v>
      </c>
      <c r="E4" s="18">
        <f ca="1">INDIRECT(CONCATENATE("'",$M$1,"'!t",ROW()+2))</f>
        <v>97.957492858410319</v>
      </c>
      <c r="F4" s="68" t="str">
        <f ca="1">IF(INDIRECT(CONCATENATE("'",$M$1,"'!m",ROW()+2))="","",INDIRECT(CONCATENATE("'",$M$1,"'!m",ROW()+2)))</f>
        <v/>
      </c>
      <c r="G4" s="19">
        <f t="shared" ref="G4:G38" ca="1" si="3">INDIRECT(CONCATENATE("'",$M$1,"'!x",ROW()+2))</f>
        <v>0</v>
      </c>
      <c r="H4" s="20">
        <f ca="1">D4/MAX(D4:D26)</f>
        <v>4.3536033191296453E-2</v>
      </c>
      <c r="I4" s="19">
        <f ca="1">INDIRECT(CONCATENATE("'",$M$1,"'!y",ROW()+2))</f>
        <v>0</v>
      </c>
      <c r="J4" s="2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>
      <c r="A5" s="17">
        <f t="shared" ca="1" si="0"/>
        <v>2</v>
      </c>
      <c r="B5" s="18">
        <f t="shared" ca="1" si="1"/>
        <v>18.899999999999999</v>
      </c>
      <c r="C5" s="18">
        <f t="shared" ca="1" si="2"/>
        <v>17</v>
      </c>
      <c r="D5" s="19">
        <f t="shared" ref="D5:D38" ca="1" si="4">D4+(INDIRECT(CONCATENATE("'",$M$1,"'!R",ROW()+2))+INDIRECT(CONCATENATE("'",$M$1,"'!T",ROW()+2)))/1000</f>
        <v>8.4759149857168214</v>
      </c>
      <c r="E5" s="18">
        <f t="shared" ref="E5:E38" ca="1" si="5">INDIRECT(CONCATENATE("'",$M$1,"'!t",ROW()+2))</f>
        <v>97.957492858410319</v>
      </c>
      <c r="F5" s="68" t="str">
        <f t="shared" ref="F5:F38" ca="1" si="6">IF(INDIRECT(CONCATENATE("'",$M$1,"'!m",ROW()+2))="","",INDIRECT(CONCATENATE("'",$M$1,"'!m",ROW()+2)))</f>
        <v/>
      </c>
      <c r="G5" s="19">
        <f t="shared" ca="1" si="3"/>
        <v>5.9287278983762648E-3</v>
      </c>
      <c r="H5" s="20">
        <f ca="1">D5/MAX(D5:D27)</f>
        <v>8.343899982963833E-2</v>
      </c>
      <c r="I5" s="19">
        <f t="shared" ref="I5:I38" ca="1" si="7">INDIRECT(CONCATENATE("'",$M$1,"'!y",ROW()+2))</f>
        <v>4.6810374389283353</v>
      </c>
      <c r="J5" s="21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>
      <c r="A6" s="17">
        <f t="shared" ca="1" si="0"/>
        <v>3</v>
      </c>
      <c r="B6" s="18">
        <f t="shared" ca="1" si="1"/>
        <v>17.100000000000001</v>
      </c>
      <c r="C6" s="18">
        <f t="shared" ca="1" si="2"/>
        <v>14</v>
      </c>
      <c r="D6" s="19">
        <f t="shared" ca="1" si="4"/>
        <v>12.713872478575233</v>
      </c>
      <c r="E6" s="18">
        <f t="shared" ca="1" si="5"/>
        <v>97.957492858410319</v>
      </c>
      <c r="F6" s="68" t="str">
        <f t="shared" ca="1" si="6"/>
        <v/>
      </c>
      <c r="G6" s="19">
        <f t="shared" ca="1" si="3"/>
        <v>9.5812653941327527E-3</v>
      </c>
      <c r="H6" s="20">
        <f ca="1">D6/MAX(D6:D28)</f>
        <v>0.12016850443293664</v>
      </c>
      <c r="I6" s="19">
        <f t="shared" ca="1" si="7"/>
        <v>13.72147815912809</v>
      </c>
      <c r="J6" s="21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>
      <c r="A7" s="17">
        <f t="shared" ca="1" si="0"/>
        <v>4</v>
      </c>
      <c r="B7" s="18">
        <f t="shared" ca="1" si="1"/>
        <v>14.1</v>
      </c>
      <c r="C7" s="18">
        <f t="shared" ca="1" si="2"/>
        <v>12.5</v>
      </c>
      <c r="D7" s="19">
        <f t="shared" ca="1" si="4"/>
        <v>16.951829971433643</v>
      </c>
      <c r="E7" s="18">
        <f t="shared" ca="1" si="5"/>
        <v>97.957492858410319</v>
      </c>
      <c r="F7" s="68" t="str">
        <f t="shared" ca="1" si="6"/>
        <v/>
      </c>
      <c r="G7" s="19">
        <f t="shared" ca="1" si="3"/>
        <v>1.2180175491295143E-2</v>
      </c>
      <c r="H7" s="20">
        <f ca="1">D7/MAX(D7:D29)</f>
        <v>0.154092317687264</v>
      </c>
      <c r="I7" s="19">
        <f t="shared" ca="1" si="7"/>
        <v>19.98008866967162</v>
      </c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>
      <c r="A8" s="17">
        <f t="shared" ca="1" si="0"/>
        <v>5</v>
      </c>
      <c r="B8" s="18">
        <f t="shared" ca="1" si="1"/>
        <v>12.5</v>
      </c>
      <c r="C8" s="18">
        <f t="shared" ca="1" si="2"/>
        <v>11.5</v>
      </c>
      <c r="D8" s="19">
        <f t="shared" ca="1" si="4"/>
        <v>21.189787464292053</v>
      </c>
      <c r="E8" s="18">
        <f t="shared" ca="1" si="5"/>
        <v>97.957492858410319</v>
      </c>
      <c r="F8" s="68" t="str">
        <f t="shared" ca="1" si="6"/>
        <v/>
      </c>
      <c r="G8" s="19">
        <f t="shared" ca="1" si="3"/>
        <v>1.429356834962286E-2</v>
      </c>
      <c r="H8" s="20">
        <f ca="1">D8/MAX(D8:D29)</f>
        <v>0.19261539710907999</v>
      </c>
      <c r="I8" s="19">
        <f t="shared" ca="1" si="7"/>
        <v>21.833514744870055</v>
      </c>
      <c r="J8" s="21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>
      <c r="A9" s="17">
        <f t="shared" ca="1" si="0"/>
        <v>6</v>
      </c>
      <c r="B9" s="18">
        <f t="shared" ca="1" si="1"/>
        <v>11.3</v>
      </c>
      <c r="C9" s="18">
        <f t="shared" ca="1" si="2"/>
        <v>10.8</v>
      </c>
      <c r="D9" s="19">
        <f t="shared" ca="1" si="4"/>
        <v>25.427744957150463</v>
      </c>
      <c r="E9" s="18">
        <f t="shared" ca="1" si="5"/>
        <v>97.957492858410319</v>
      </c>
      <c r="F9" s="68" t="str">
        <f t="shared" ca="1" si="6"/>
        <v>11G</v>
      </c>
      <c r="G9" s="19">
        <f t="shared" ca="1" si="3"/>
        <v>1.5987540023562147E-2</v>
      </c>
      <c r="H9" s="20">
        <f ca="1">D9/MAX(D9:D29)</f>
        <v>0.23113847653089598</v>
      </c>
      <c r="I9" s="19">
        <f t="shared" ca="1" si="7"/>
        <v>23.124975327523057</v>
      </c>
      <c r="J9" s="21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>
      <c r="A10" s="17">
        <f t="shared" ca="1" si="0"/>
        <v>7</v>
      </c>
      <c r="B10" s="18">
        <f t="shared" ca="1" si="1"/>
        <v>10.5</v>
      </c>
      <c r="C10" s="18">
        <f t="shared" ca="1" si="2"/>
        <v>10</v>
      </c>
      <c r="D10" s="19">
        <f t="shared" ca="1" si="4"/>
        <v>29.665702450008872</v>
      </c>
      <c r="E10" s="18">
        <f t="shared" ca="1" si="5"/>
        <v>97.957492858410319</v>
      </c>
      <c r="F10" s="68" t="str">
        <f t="shared" ca="1" si="6"/>
        <v/>
      </c>
      <c r="G10" s="19">
        <f t="shared" ca="1" si="3"/>
        <v>1.8170686619518983E-2</v>
      </c>
      <c r="H10" s="20">
        <f ca="1">D10/MAX(D10:D29)</f>
        <v>0.26966155595271196</v>
      </c>
      <c r="I10" s="19">
        <f t="shared" ca="1" si="7"/>
        <v>22.902886423978234</v>
      </c>
      <c r="J10" s="21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>
      <c r="A11" s="17">
        <f t="shared" ca="1" si="0"/>
        <v>8</v>
      </c>
      <c r="B11" s="18">
        <f t="shared" ca="1" si="1"/>
        <v>9.9</v>
      </c>
      <c r="C11" s="18">
        <f t="shared" ca="1" si="2"/>
        <v>9</v>
      </c>
      <c r="D11" s="19">
        <f t="shared" ca="1" si="4"/>
        <v>33.903659942867286</v>
      </c>
      <c r="E11" s="18">
        <f t="shared" ca="1" si="5"/>
        <v>97.957492858410319</v>
      </c>
      <c r="F11" s="68" t="str">
        <f t="shared" ca="1" si="6"/>
        <v/>
      </c>
      <c r="G11" s="19">
        <f t="shared" ca="1" si="3"/>
        <v>2.1323498281390959E-2</v>
      </c>
      <c r="H11" s="20">
        <f t="shared" ref="H11:H20" ca="1" si="8">D11/MAX(D11:D29)</f>
        <v>0.308184635374528</v>
      </c>
      <c r="I11" s="19">
        <f t="shared" ca="1" si="7"/>
        <v>21.580448546445236</v>
      </c>
      <c r="J11" s="2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>
      <c r="A12" s="17">
        <f t="shared" ca="1" si="0"/>
        <v>9</v>
      </c>
      <c r="B12" s="18">
        <f t="shared" ca="1" si="1"/>
        <v>9.6</v>
      </c>
      <c r="C12" s="18">
        <f t="shared" ca="1" si="2"/>
        <v>5.6</v>
      </c>
      <c r="D12" s="19">
        <f t="shared" ca="1" si="4"/>
        <v>38.141617435725699</v>
      </c>
      <c r="E12" s="18">
        <f t="shared" ca="1" si="5"/>
        <v>97.957492858410319</v>
      </c>
      <c r="F12" s="68" t="str">
        <f t="shared" ca="1" si="6"/>
        <v/>
      </c>
      <c r="G12" s="19">
        <f t="shared" ca="1" si="3"/>
        <v>3.6737927575013041E-2</v>
      </c>
      <c r="H12" s="20">
        <f t="shared" ca="1" si="8"/>
        <v>0.33384513988627385</v>
      </c>
      <c r="I12" s="19">
        <f t="shared" ca="1" si="7"/>
        <v>13.127670156021608</v>
      </c>
      <c r="J12" s="21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>
      <c r="A13" s="17">
        <f t="shared" ca="1" si="0"/>
        <v>10</v>
      </c>
      <c r="B13" s="18">
        <f t="shared" ca="1" si="1"/>
        <v>9.4</v>
      </c>
      <c r="C13" s="18">
        <f t="shared" ca="1" si="2"/>
        <v>6.4</v>
      </c>
      <c r="D13" s="19">
        <f t="shared" ca="1" si="4"/>
        <v>42.379574928584113</v>
      </c>
      <c r="E13" s="18">
        <f t="shared" ca="1" si="5"/>
        <v>97.957492858410319</v>
      </c>
      <c r="F13" s="68" t="str">
        <f t="shared" ca="1" si="6"/>
        <v/>
      </c>
      <c r="G13" s="19">
        <f t="shared" ca="1" si="3"/>
        <v>3.2323989719646409E-2</v>
      </c>
      <c r="H13" s="20">
        <f t="shared" ca="1" si="8"/>
        <v>0.35836541753651191</v>
      </c>
      <c r="I13" s="19">
        <f t="shared" ca="1" si="7"/>
        <v>16.428593673521959</v>
      </c>
      <c r="J13" s="21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>
      <c r="A14" s="17">
        <f t="shared" ca="1" si="0"/>
        <v>11</v>
      </c>
      <c r="B14" s="18">
        <f t="shared" ca="1" si="1"/>
        <v>9.1</v>
      </c>
      <c r="C14" s="18">
        <f t="shared" ca="1" si="2"/>
        <v>7.2</v>
      </c>
      <c r="D14" s="19">
        <f t="shared" ca="1" si="4"/>
        <v>46.61749270206127</v>
      </c>
      <c r="E14" s="18">
        <f t="shared" ca="1" si="5"/>
        <v>97.917773477159997</v>
      </c>
      <c r="F14" s="68" t="str">
        <f t="shared" ca="1" si="6"/>
        <v>12G</v>
      </c>
      <c r="G14" s="19">
        <f t="shared" ca="1" si="3"/>
        <v>2.8440371582267619E-2</v>
      </c>
      <c r="H14" s="20">
        <f t="shared" ca="1" si="8"/>
        <v>0.3805622734312864</v>
      </c>
      <c r="I14" s="19">
        <f t="shared" ca="1" si="7"/>
        <v>20.399284310329257</v>
      </c>
      <c r="J14" s="21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>
      <c r="A15" s="17">
        <f t="shared" ca="1" si="0"/>
        <v>12</v>
      </c>
      <c r="B15" s="18">
        <f t="shared" ca="1" si="1"/>
        <v>8.1999999999999993</v>
      </c>
      <c r="C15" s="18">
        <f t="shared" ca="1" si="2"/>
        <v>5.6</v>
      </c>
      <c r="D15" s="19">
        <f t="shared" ca="1" si="4"/>
        <v>50.855410475538427</v>
      </c>
      <c r="E15" s="18">
        <f t="shared" ca="1" si="5"/>
        <v>97.917773477159997</v>
      </c>
      <c r="F15" s="68" t="str">
        <f t="shared" ca="1" si="6"/>
        <v/>
      </c>
      <c r="G15" s="19">
        <f t="shared" ca="1" si="3"/>
        <v>3.6737927575013041E-2</v>
      </c>
      <c r="H15" s="20">
        <f t="shared" ca="1" si="8"/>
        <v>0.40127447866107863</v>
      </c>
      <c r="I15" s="19">
        <f t="shared" ca="1" si="7"/>
        <v>17.15246921736572</v>
      </c>
      <c r="J15" s="21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>
      <c r="A16" s="17">
        <f t="shared" ca="1" si="0"/>
        <v>13</v>
      </c>
      <c r="B16" s="18">
        <f t="shared" ca="1" si="1"/>
        <v>7.8</v>
      </c>
      <c r="C16" s="18">
        <f t="shared" ca="1" si="2"/>
        <v>6.2</v>
      </c>
      <c r="D16" s="19">
        <f t="shared" ca="1" si="4"/>
        <v>55.093506135303016</v>
      </c>
      <c r="E16" s="18">
        <f t="shared" ca="1" si="5"/>
        <v>98.095659764586316</v>
      </c>
      <c r="F16" s="68" t="str">
        <f t="shared" ca="1" si="6"/>
        <v>13G</v>
      </c>
      <c r="G16" s="19">
        <f t="shared" ca="1" si="3"/>
        <v>3.337508522683761E-2</v>
      </c>
      <c r="H16" s="20">
        <f t="shared" ca="1" si="8"/>
        <v>0.42064752390925531</v>
      </c>
      <c r="I16" s="19">
        <f t="shared" ca="1" si="7"/>
        <v>20.398016760795539</v>
      </c>
      <c r="J16" s="21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>
      <c r="A17" s="17">
        <f t="shared" ca="1" si="0"/>
        <v>14</v>
      </c>
      <c r="B17" s="18">
        <f t="shared" ca="1" si="1"/>
        <v>7.6</v>
      </c>
      <c r="C17" s="18">
        <f t="shared" ca="1" si="2"/>
        <v>7</v>
      </c>
      <c r="D17" s="19">
        <f t="shared" ca="1" si="4"/>
        <v>59.331601795067606</v>
      </c>
      <c r="E17" s="18">
        <f t="shared" ca="1" si="5"/>
        <v>98.095659764586316</v>
      </c>
      <c r="F17" s="68" t="str">
        <f t="shared" ca="1" si="6"/>
        <v>14G</v>
      </c>
      <c r="G17" s="19">
        <f t="shared" ca="1" si="3"/>
        <v>2.9365181516073549E-2</v>
      </c>
      <c r="H17" s="20">
        <f t="shared" ca="1" si="8"/>
        <v>0.43880602630569832</v>
      </c>
      <c r="I17" s="19">
        <f t="shared" ca="1" si="7"/>
        <v>23.4332637825514</v>
      </c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>
      <c r="A18" s="17">
        <f t="shared" ca="1" si="0"/>
        <v>15</v>
      </c>
      <c r="B18" s="18">
        <f t="shared" ca="1" si="1"/>
        <v>7.6</v>
      </c>
      <c r="C18" s="18">
        <f t="shared" ca="1" si="2"/>
        <v>7.3</v>
      </c>
      <c r="D18" s="19">
        <f t="shared" ca="1" si="4"/>
        <v>63.569697454832195</v>
      </c>
      <c r="E18" s="18">
        <f t="shared" ca="1" si="5"/>
        <v>98.095659764586316</v>
      </c>
      <c r="F18" s="68" t="str">
        <f t="shared" ca="1" si="6"/>
        <v/>
      </c>
      <c r="G18" s="19">
        <f t="shared" ca="1" si="3"/>
        <v>2.798894666663353E-2</v>
      </c>
      <c r="H18" s="20">
        <f t="shared" ca="1" si="8"/>
        <v>0.45586072841490971</v>
      </c>
      <c r="I18" s="19">
        <f t="shared" ca="1" si="7"/>
        <v>24.309405626448775</v>
      </c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>
      <c r="A19" s="17">
        <f t="shared" ca="1" si="0"/>
        <v>16</v>
      </c>
      <c r="B19" s="18">
        <f t="shared" ca="1" si="1"/>
        <v>7.3</v>
      </c>
      <c r="C19" s="18">
        <f t="shared" ca="1" si="2"/>
        <v>7.1</v>
      </c>
      <c r="D19" s="19">
        <f t="shared" ca="1" si="4"/>
        <v>67.79804311459678</v>
      </c>
      <c r="E19" s="18">
        <f t="shared" ca="1" si="5"/>
        <v>98.095659764586316</v>
      </c>
      <c r="F19" s="68" t="str">
        <f t="shared" ca="1" si="6"/>
        <v/>
      </c>
      <c r="G19" s="19">
        <f t="shared" ca="1" si="3"/>
        <v>2.8899077388350458E-2</v>
      </c>
      <c r="H19" s="20">
        <f t="shared" ca="1" si="8"/>
        <v>0.47184145125737448</v>
      </c>
      <c r="I19" s="19">
        <f t="shared" ca="1" si="7"/>
        <v>24.210273523882925</v>
      </c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>
      <c r="A20" s="17">
        <f t="shared" ca="1" si="0"/>
        <v>17</v>
      </c>
      <c r="B20" s="18">
        <f t="shared" ca="1" si="1"/>
        <v>7.3</v>
      </c>
      <c r="C20" s="18">
        <f t="shared" ca="1" si="2"/>
        <v>5.9</v>
      </c>
      <c r="D20" s="19">
        <f t="shared" ca="1" si="4"/>
        <v>71.99713877436136</v>
      </c>
      <c r="E20" s="18">
        <f t="shared" ca="1" si="5"/>
        <v>98.095659764586316</v>
      </c>
      <c r="F20" s="68" t="str">
        <f t="shared" ca="1" si="6"/>
        <v/>
      </c>
      <c r="G20" s="19">
        <f t="shared" ca="1" si="3"/>
        <v>3.5016160038951263E-2</v>
      </c>
      <c r="H20" s="20">
        <f t="shared" ca="1" si="8"/>
        <v>0.4867086870595288</v>
      </c>
      <c r="I20" s="19">
        <f t="shared" ca="1" si="7"/>
        <v>21.538408448377648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>
      <c r="A21" s="17">
        <f t="shared" ca="1" si="0"/>
        <v>18</v>
      </c>
      <c r="B21" s="18">
        <f t="shared" ca="1" si="1"/>
        <v>6.7</v>
      </c>
      <c r="C21" s="18">
        <f t="shared" ca="1" si="2"/>
        <v>5</v>
      </c>
      <c r="D21" s="19">
        <f t="shared" ca="1" si="4"/>
        <v>76.227234434125947</v>
      </c>
      <c r="E21" s="18">
        <f t="shared" ca="1" si="5"/>
        <v>98.095659764586316</v>
      </c>
      <c r="F21" s="68" t="str">
        <f t="shared" ca="1" si="6"/>
        <v/>
      </c>
      <c r="G21" s="19">
        <f t="shared" ca="1" si="3"/>
        <v>4.0439606770549939E-2</v>
      </c>
      <c r="H21" s="20">
        <f ca="1">D21/MAX(D21:D38)</f>
        <v>0.51530460544946055</v>
      </c>
      <c r="I21" s="19">
        <f t="shared" ca="1" si="7"/>
        <v>18.726618426884663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>
      <c r="A22" s="17">
        <f t="shared" ca="1" si="0"/>
        <v>19</v>
      </c>
      <c r="B22" s="18">
        <f t="shared" ca="1" si="1"/>
        <v>5.3</v>
      </c>
      <c r="C22" s="18">
        <f t="shared" ca="1" si="2"/>
        <v>5</v>
      </c>
      <c r="D22" s="19">
        <f t="shared" ca="1" si="4"/>
        <v>80.465595591059667</v>
      </c>
      <c r="E22" s="18">
        <f t="shared" ca="1" si="5"/>
        <v>98.361156933722981</v>
      </c>
      <c r="F22" s="68" t="str">
        <f t="shared" ca="1" si="6"/>
        <v>15G</v>
      </c>
      <c r="G22" s="19">
        <f t="shared" ca="1" si="3"/>
        <v>4.0439606770549939E-2</v>
      </c>
      <c r="H22" s="20">
        <f ca="1">D22/MAX(D22:D38)</f>
        <v>0.54395639952200381</v>
      </c>
      <c r="I22" s="19">
        <f t="shared" ca="1" si="7"/>
        <v>19.28099762905088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>
      <c r="A23" s="17">
        <f t="shared" ca="1" si="0"/>
        <v>20</v>
      </c>
      <c r="B23" s="18">
        <f t="shared" ca="1" si="1"/>
        <v>6.1</v>
      </c>
      <c r="C23" s="18">
        <f t="shared" ca="1" si="2"/>
        <v>4.3</v>
      </c>
      <c r="D23" s="19">
        <f t="shared" ca="1" si="4"/>
        <v>84.701956747993393</v>
      </c>
      <c r="E23" s="18">
        <f t="shared" ca="1" si="5"/>
        <v>98.361156933722981</v>
      </c>
      <c r="F23" s="68" t="str">
        <f t="shared" ca="1" si="6"/>
        <v/>
      </c>
      <c r="G23" s="19">
        <f t="shared" ca="1" si="3"/>
        <v>4.5232220252288548E-2</v>
      </c>
      <c r="H23" s="20">
        <f ca="1">D23/MAX(D23:D38)</f>
        <v>0.57259467337151193</v>
      </c>
      <c r="I23" s="19">
        <f t="shared" ca="1" si="7"/>
        <v>16.518160200654869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>
      <c r="A24" s="17">
        <f t="shared" ca="1" si="0"/>
        <v>21</v>
      </c>
      <c r="B24" s="18">
        <f t="shared" ca="1" si="1"/>
        <v>4.5</v>
      </c>
      <c r="C24" s="18">
        <f t="shared" ca="1" si="2"/>
        <v>4.3</v>
      </c>
      <c r="D24" s="19">
        <f t="shared" ca="1" si="4"/>
        <v>88.940363039453146</v>
      </c>
      <c r="E24" s="18">
        <f t="shared" ca="1" si="5"/>
        <v>98.406291459747038</v>
      </c>
      <c r="F24" s="68" t="str">
        <f t="shared" ca="1" si="6"/>
        <v>16G</v>
      </c>
      <c r="G24" s="19">
        <f t="shared" ca="1" si="3"/>
        <v>4.5232220252288548E-2</v>
      </c>
      <c r="H24" s="20">
        <f ca="1">D24/MAX(D24:D38)</f>
        <v>0.60124677255848435</v>
      </c>
      <c r="I24" s="19">
        <f t="shared" ca="1" si="7"/>
        <v>16.767348692724831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>
      <c r="A25" s="17">
        <f t="shared" ca="1" si="0"/>
        <v>22</v>
      </c>
      <c r="B25" s="18">
        <f t="shared" ca="1" si="1"/>
        <v>4.5</v>
      </c>
      <c r="C25" s="18">
        <f t="shared" ca="1" si="2"/>
        <v>3.2</v>
      </c>
      <c r="D25" s="19">
        <f t="shared" ca="1" si="4"/>
        <v>93.147269330912891</v>
      </c>
      <c r="E25" s="18">
        <f t="shared" ca="1" si="5"/>
        <v>98.406291459747038</v>
      </c>
      <c r="F25" s="68" t="str">
        <f t="shared" ca="1" si="6"/>
        <v/>
      </c>
      <c r="G25" s="19">
        <f t="shared" ca="1" si="3"/>
        <v>5.3936620906098451E-2</v>
      </c>
      <c r="H25" s="20">
        <f ca="1">D25/MAX(D25:D38)</f>
        <v>0.62968592823265379</v>
      </c>
      <c r="I25" s="19">
        <f t="shared" ca="1" si="7"/>
        <v>13.288611823456346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>
      <c r="A26" s="17">
        <f t="shared" ca="1" si="0"/>
        <v>23</v>
      </c>
      <c r="B26" s="18">
        <f t="shared" ca="1" si="1"/>
        <v>4.8</v>
      </c>
      <c r="C26" s="18">
        <f t="shared" ca="1" si="2"/>
        <v>4.2</v>
      </c>
      <c r="D26" s="19">
        <f t="shared" ca="1" si="4"/>
        <v>97.343675622372643</v>
      </c>
      <c r="E26" s="18">
        <f t="shared" ca="1" si="5"/>
        <v>98.406291459747038</v>
      </c>
      <c r="F26" s="68" t="str">
        <f t="shared" ca="1" si="6"/>
        <v/>
      </c>
      <c r="G26" s="19">
        <f t="shared" ca="1" si="3"/>
        <v>4.5961756502956905E-2</v>
      </c>
      <c r="H26" s="20">
        <f ca="1">D26/MAX(D26:D38)</f>
        <v>0.65805410273588905</v>
      </c>
      <c r="I26" s="19">
        <f t="shared" ca="1" si="7"/>
        <v>18.423341617320411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>
      <c r="A27" s="17">
        <f t="shared" ca="1" si="0"/>
        <v>24</v>
      </c>
      <c r="B27" s="18">
        <f t="shared" ca="1" si="1"/>
        <v>4.2</v>
      </c>
      <c r="C27" s="18">
        <f t="shared" ca="1" si="2"/>
        <v>4</v>
      </c>
      <c r="D27" s="19">
        <f t="shared" ca="1" si="4"/>
        <v>101.58217383984145</v>
      </c>
      <c r="E27" s="18">
        <f t="shared" ca="1" si="5"/>
        <v>98.498217468805706</v>
      </c>
      <c r="F27" s="68" t="str">
        <f t="shared" ca="1" si="6"/>
        <v>17G</v>
      </c>
      <c r="G27" s="19">
        <f t="shared" ca="1" si="3"/>
        <v>4.745631816387437E-2</v>
      </c>
      <c r="H27" s="20">
        <f ca="1">D27/MAX(D27:D38)</f>
        <v>0.68670682335293398</v>
      </c>
      <c r="I27" s="19">
        <f t="shared" ca="1" si="7"/>
        <v>17.214469416521791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>
      <c r="A28" s="17">
        <f t="shared" ca="1" si="0"/>
        <v>25</v>
      </c>
      <c r="B28" s="18">
        <f t="shared" ca="1" si="1"/>
        <v>4.2</v>
      </c>
      <c r="C28" s="18">
        <f t="shared" ca="1" si="2"/>
        <v>2.8</v>
      </c>
      <c r="D28" s="19">
        <f t="shared" ca="1" si="4"/>
        <v>105.80037205731026</v>
      </c>
      <c r="E28" s="18">
        <f t="shared" ca="1" si="5"/>
        <v>98.498217468805706</v>
      </c>
      <c r="F28" s="68" t="str">
        <f t="shared" ca="1" si="6"/>
        <v/>
      </c>
      <c r="G28" s="19">
        <f t="shared" ca="1" si="3"/>
        <v>5.7501421562872461E-2</v>
      </c>
      <c r="H28" s="20">
        <f ca="1">D28/MAX(D28:D38)</f>
        <v>0.71522231370617273</v>
      </c>
      <c r="I28" s="19">
        <f t="shared" ca="1" si="7"/>
        <v>12.499389097857929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>
      <c r="A29" s="17">
        <f t="shared" ca="1" si="0"/>
        <v>26</v>
      </c>
      <c r="B29" s="18">
        <f t="shared" ca="1" si="1"/>
        <v>3.9</v>
      </c>
      <c r="C29" s="18">
        <f t="shared" ca="1" si="2"/>
        <v>3.3</v>
      </c>
      <c r="D29" s="19">
        <f t="shared" ca="1" si="4"/>
        <v>110.01087027477907</v>
      </c>
      <c r="E29" s="18">
        <f t="shared" ca="1" si="5"/>
        <v>98.498217468805706</v>
      </c>
      <c r="F29" s="68" t="str">
        <f t="shared" ca="1" si="6"/>
        <v/>
      </c>
      <c r="G29" s="19">
        <f t="shared" ca="1" si="3"/>
        <v>5.3080502185156531E-2</v>
      </c>
      <c r="H29" s="20">
        <f ca="1">D29/MAX(D29:D38)</f>
        <v>0.74368575120072622</v>
      </c>
      <c r="I29" s="19">
        <f t="shared" ca="1" si="7"/>
        <v>15.374966689206991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>
      <c r="A30" s="17">
        <f t="shared" ca="1" si="0"/>
        <v>27</v>
      </c>
      <c r="B30" s="18">
        <f t="shared" ca="1" si="1"/>
        <v>3.3</v>
      </c>
      <c r="C30" s="18">
        <f t="shared" ca="1" si="2"/>
        <v>3.1</v>
      </c>
      <c r="D30" s="19">
        <f t="shared" ca="1" si="4"/>
        <v>114.24943148406727</v>
      </c>
      <c r="E30" s="18">
        <f t="shared" ca="1" si="5"/>
        <v>98.561209288203571</v>
      </c>
      <c r="F30" s="68" t="str">
        <f t="shared" ca="1" si="6"/>
        <v>18G</v>
      </c>
      <c r="G30" s="19">
        <f t="shared" ca="1" si="3"/>
        <v>5.4806547696560716E-2</v>
      </c>
      <c r="H30" s="20">
        <f t="shared" ref="H30:H38" ca="1" si="9">D30/MAX(D30:D38)</f>
        <v>0.77233889764949515</v>
      </c>
      <c r="I30" s="19">
        <f t="shared" ca="1" si="7"/>
        <v>14.287943672278518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>
      <c r="A31" s="17">
        <f t="shared" ca="1" si="0"/>
        <v>28</v>
      </c>
      <c r="B31" s="18">
        <f t="shared" ca="1" si="1"/>
        <v>3.1</v>
      </c>
      <c r="C31" s="18">
        <f t="shared" ca="1" si="2"/>
        <v>1</v>
      </c>
      <c r="D31" s="19">
        <f t="shared" ca="1" si="4"/>
        <v>118.25799269335548</v>
      </c>
      <c r="E31" s="18">
        <f t="shared" ca="1" si="5"/>
        <v>98.561209288203571</v>
      </c>
      <c r="F31" s="68" t="str">
        <f t="shared" ca="1" si="6"/>
        <v/>
      </c>
      <c r="G31" s="19">
        <f t="shared" ca="1" si="3"/>
        <v>7.6692941006959017E-2</v>
      </c>
      <c r="H31" s="20">
        <f t="shared" ca="1" si="9"/>
        <v>0.79943721844922644</v>
      </c>
      <c r="I31" s="19">
        <f t="shared" ca="1" si="7"/>
        <v>7.1030189500583099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>
      <c r="A32" s="17">
        <f t="shared" ca="1" si="0"/>
        <v>29</v>
      </c>
      <c r="B32" s="18">
        <f t="shared" ca="1" si="1"/>
        <v>1.1000000000000001</v>
      </c>
      <c r="C32" s="18">
        <f t="shared" ca="1" si="2"/>
        <v>0.9</v>
      </c>
      <c r="D32" s="19">
        <f t="shared" ca="1" si="4"/>
        <v>122.49635856371464</v>
      </c>
      <c r="E32" s="18">
        <f t="shared" ca="1" si="5"/>
        <v>98.365870359166607</v>
      </c>
      <c r="F32" s="68" t="str">
        <f t="shared" ca="1" si="6"/>
        <v>19G</v>
      </c>
      <c r="G32" s="19">
        <f t="shared" ca="1" si="3"/>
        <v>7.7929897325328443E-2</v>
      </c>
      <c r="H32" s="20">
        <f t="shared" ca="1" si="9"/>
        <v>0.82808904438505115</v>
      </c>
      <c r="I32" s="19">
        <f t="shared" ca="1" si="7"/>
        <v>6.6401582607932479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>
      <c r="A33" s="17">
        <f t="shared" ca="1" si="0"/>
        <v>30</v>
      </c>
      <c r="B33" s="18">
        <f t="shared" ca="1" si="1"/>
        <v>0.9</v>
      </c>
      <c r="C33" s="18">
        <f t="shared" ca="1" si="2"/>
        <v>0.7</v>
      </c>
      <c r="D33" s="19">
        <f t="shared" ca="1" si="4"/>
        <v>126.7347244340738</v>
      </c>
      <c r="E33" s="18">
        <f t="shared" ca="1" si="5"/>
        <v>98.365870359166607</v>
      </c>
      <c r="F33" s="68" t="str">
        <f t="shared" ca="1" si="6"/>
        <v/>
      </c>
      <c r="G33" s="19">
        <f t="shared" ca="1" si="3"/>
        <v>8.0463983175032144E-2</v>
      </c>
      <c r="H33" s="20">
        <f t="shared" ca="1" si="9"/>
        <v>0.85674087032087598</v>
      </c>
      <c r="I33" s="19">
        <f t="shared" ca="1" si="7"/>
        <v>5.3022937323715391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>
      <c r="A34" s="17">
        <f t="shared" ca="1" si="0"/>
        <v>31</v>
      </c>
      <c r="B34" s="18">
        <f t="shared" ca="1" si="1"/>
        <v>0.7</v>
      </c>
      <c r="C34" s="18">
        <f t="shared" ca="1" si="2"/>
        <v>0.6</v>
      </c>
      <c r="D34" s="19">
        <f t="shared" ca="1" si="4"/>
        <v>130.97309030443296</v>
      </c>
      <c r="E34" s="18">
        <f t="shared" ca="1" si="5"/>
        <v>98.365870359166607</v>
      </c>
      <c r="F34" s="68" t="str">
        <f t="shared" ca="1" si="6"/>
        <v/>
      </c>
      <c r="G34" s="19">
        <f t="shared" ca="1" si="3"/>
        <v>8.1761761446183551E-2</v>
      </c>
      <c r="H34" s="20">
        <f t="shared" ca="1" si="9"/>
        <v>0.88539269625670081</v>
      </c>
      <c r="I34" s="19">
        <f t="shared" ca="1" si="7"/>
        <v>4.6477073549243642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>
      <c r="A35" s="17">
        <f t="shared" ca="1" si="0"/>
        <v>32</v>
      </c>
      <c r="B35" s="18">
        <f t="shared" ca="1" si="1"/>
        <v>0.6</v>
      </c>
      <c r="C35" s="18">
        <f t="shared" ca="1" si="2"/>
        <v>0.3</v>
      </c>
      <c r="D35" s="19">
        <f t="shared" ca="1" si="4"/>
        <v>135.21145617479212</v>
      </c>
      <c r="E35" s="18">
        <f t="shared" ca="1" si="5"/>
        <v>98.365870359166607</v>
      </c>
      <c r="F35" s="68" t="str">
        <f t="shared" ca="1" si="6"/>
        <v>20G</v>
      </c>
      <c r="G35" s="19">
        <f t="shared" ca="1" si="3"/>
        <v>8.5782040836975423E-2</v>
      </c>
      <c r="H35" s="20">
        <f t="shared" ca="1" si="9"/>
        <v>0.91404452219252563</v>
      </c>
      <c r="I35" s="19">
        <f t="shared" ca="1" si="7"/>
        <v>3.1420358647418238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>
      <c r="A36" s="17">
        <f t="shared" ca="1" si="0"/>
        <v>33</v>
      </c>
      <c r="B36" s="18">
        <f t="shared" ca="1" si="1"/>
        <v>0.3</v>
      </c>
      <c r="C36" s="18">
        <f t="shared" ca="1" si="2"/>
        <v>0.2</v>
      </c>
      <c r="D36" s="19">
        <f t="shared" ca="1" si="4"/>
        <v>139.44982204515128</v>
      </c>
      <c r="E36" s="18">
        <f t="shared" ca="1" si="5"/>
        <v>98.365870359166607</v>
      </c>
      <c r="F36" s="68" t="str">
        <f t="shared" ca="1" si="6"/>
        <v/>
      </c>
      <c r="G36" s="19">
        <f t="shared" ca="1" si="3"/>
        <v>8.7165592387127774E-2</v>
      </c>
      <c r="H36" s="20">
        <f t="shared" ca="1" si="9"/>
        <v>0.94269634812835035</v>
      </c>
      <c r="I36" s="19">
        <f t="shared" ca="1" si="7"/>
        <v>2.4350893662807751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>
      <c r="A37" s="17">
        <f t="shared" ca="1" si="0"/>
        <v>34</v>
      </c>
      <c r="B37" s="18">
        <f t="shared" ca="1" si="1"/>
        <v>0.2</v>
      </c>
      <c r="C37" s="18">
        <f t="shared" ca="1" si="2"/>
        <v>0.1</v>
      </c>
      <c r="D37" s="19">
        <f t="shared" ca="1" si="4"/>
        <v>143.68818791551044</v>
      </c>
      <c r="E37" s="18">
        <f t="shared" ca="1" si="5"/>
        <v>98.365870359166607</v>
      </c>
      <c r="F37" s="68" t="str">
        <f t="shared" ca="1" si="6"/>
        <v/>
      </c>
      <c r="G37" s="19">
        <f t="shared" ca="1" si="3"/>
        <v>8.8571458804975661E-2</v>
      </c>
      <c r="H37" s="20">
        <f t="shared" ca="1" si="9"/>
        <v>0.97134817406417517</v>
      </c>
      <c r="I37" s="19">
        <f t="shared" ca="1" si="7"/>
        <v>1.7806457701079674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>
      <c r="A38" s="17">
        <f t="shared" ca="1" si="0"/>
        <v>35</v>
      </c>
      <c r="B38" s="18">
        <f t="shared" ca="1" si="1"/>
        <v>0.1</v>
      </c>
      <c r="C38" s="18">
        <f t="shared" ca="1" si="2"/>
        <v>0</v>
      </c>
      <c r="D38" s="19">
        <f t="shared" ca="1" si="4"/>
        <v>147.9265537858696</v>
      </c>
      <c r="E38" s="18">
        <f t="shared" ca="1" si="5"/>
        <v>98.365870359166607</v>
      </c>
      <c r="F38" s="68" t="str">
        <f t="shared" ca="1" si="6"/>
        <v/>
      </c>
      <c r="G38" s="19">
        <f t="shared" ca="1" si="3"/>
        <v>0.09</v>
      </c>
      <c r="H38" s="20">
        <f t="shared" ca="1" si="9"/>
        <v>1</v>
      </c>
      <c r="I38" s="19">
        <f t="shared" ca="1" si="7"/>
        <v>0.91304286659205014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1:31"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1:31"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1:31"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1:31"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52" sqref="J52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07328D20-B035-4B85-965E-600B35582BCA}"/>
</file>

<file path=customXml/itemProps2.xml><?xml version="1.0" encoding="utf-8"?>
<ds:datastoreItem xmlns:ds="http://schemas.openxmlformats.org/officeDocument/2006/customXml" ds:itemID="{EE9FC6AE-A977-4B76-B8F1-736F230CBC59}"/>
</file>

<file path=customXml/itemProps3.xml><?xml version="1.0" encoding="utf-8"?>
<ds:datastoreItem xmlns:ds="http://schemas.openxmlformats.org/officeDocument/2006/customXml" ds:itemID="{4177EE06-E60B-4432-8B2C-970B8D096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UT-GOM2-1-H005-9FB-2</vt:lpstr>
      <vt:lpstr>UT-GOM2-1-H005-9FB-2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