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7840" yWindow="6140" windowWidth="26660" windowHeight="16480" tabRatio="623" activeTab="2"/>
  </bookViews>
  <sheets>
    <sheet name="UT-GOM2-1-H005-7FB-4" sheetId="27" r:id="rId1"/>
    <sheet name="UT-GOM2-1-H005-7FB-4 table" sheetId="30" r:id="rId2"/>
    <sheet name="graph" sheetId="31" r:id="rId3"/>
  </sheets>
  <definedNames>
    <definedName name="_xlnm.Print_Area" localSheetId="0">'UT-GOM2-1-H005-7FB-4'!#REF!</definedName>
    <definedName name="_xlnm.Print_Area" localSheetId="1">'UT-GOM2-1-H005-7FB-4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" i="27" l="1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26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X27" i="27"/>
  <c r="Y27" i="27"/>
  <c r="X28" i="27"/>
  <c r="Y28" i="27"/>
  <c r="X29" i="27"/>
  <c r="Y29" i="27"/>
  <c r="X30" i="27"/>
  <c r="Y30" i="27"/>
  <c r="X31" i="27"/>
  <c r="Y31" i="27"/>
  <c r="X32" i="27"/>
  <c r="Y32" i="27"/>
  <c r="X33" i="27"/>
  <c r="Y33" i="27"/>
  <c r="X34" i="27"/>
  <c r="Y34" i="27"/>
  <c r="X35" i="27"/>
  <c r="Y35" i="27"/>
  <c r="X36" i="27"/>
  <c r="Y36" i="27"/>
  <c r="X37" i="27"/>
  <c r="Y37" i="27"/>
  <c r="X7" i="27"/>
  <c r="Y7" i="27"/>
  <c r="O29" i="27"/>
  <c r="Q29" i="27"/>
  <c r="S29" i="27"/>
  <c r="AB29" i="27"/>
  <c r="O30" i="27"/>
  <c r="Q30" i="27"/>
  <c r="S30" i="27"/>
  <c r="AB30" i="27"/>
  <c r="O31" i="27"/>
  <c r="Q31" i="27"/>
  <c r="S31" i="27"/>
  <c r="AB31" i="27"/>
  <c r="O32" i="27"/>
  <c r="Q32" i="27"/>
  <c r="S32" i="27"/>
  <c r="AB32" i="27"/>
  <c r="O33" i="27"/>
  <c r="Q33" i="27"/>
  <c r="S33" i="27"/>
  <c r="AB33" i="27"/>
  <c r="O34" i="27"/>
  <c r="Q34" i="27"/>
  <c r="S34" i="27"/>
  <c r="AB34" i="27"/>
  <c r="O35" i="27"/>
  <c r="Q35" i="27"/>
  <c r="S35" i="27"/>
  <c r="AB35" i="27"/>
  <c r="O36" i="27"/>
  <c r="Q36" i="27"/>
  <c r="S36" i="27"/>
  <c r="AB36" i="27"/>
  <c r="O37" i="27"/>
  <c r="Q37" i="27"/>
  <c r="S37" i="27"/>
  <c r="AB37" i="27"/>
  <c r="A30" i="30"/>
  <c r="G32" i="30"/>
  <c r="F33" i="30"/>
  <c r="E34" i="30"/>
  <c r="B31" i="30"/>
  <c r="G34" i="30"/>
  <c r="E33" i="30"/>
  <c r="B30" i="30"/>
  <c r="A31" i="30"/>
  <c r="G33" i="30"/>
  <c r="F34" i="30"/>
  <c r="E35" i="30"/>
  <c r="C30" i="30"/>
  <c r="A32" i="30"/>
  <c r="F35" i="30"/>
  <c r="F32" i="30"/>
  <c r="C35" i="30"/>
  <c r="C31" i="30"/>
  <c r="B32" i="30"/>
  <c r="A33" i="30"/>
  <c r="G35" i="30"/>
  <c r="E30" i="30"/>
  <c r="C32" i="30"/>
  <c r="B33" i="30"/>
  <c r="A34" i="30"/>
  <c r="F30" i="30"/>
  <c r="E31" i="30"/>
  <c r="C33" i="30"/>
  <c r="B34" i="30"/>
  <c r="A35" i="30"/>
  <c r="G30" i="30"/>
  <c r="F31" i="30"/>
  <c r="E32" i="30"/>
  <c r="C34" i="30"/>
  <c r="B35" i="30"/>
  <c r="G31" i="30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6" i="27"/>
  <c r="N2" i="27"/>
  <c r="R17" i="27"/>
  <c r="R6" i="27"/>
  <c r="R7" i="27"/>
  <c r="R8" i="27"/>
  <c r="R9" i="27"/>
  <c r="R11" i="27"/>
  <c r="R12" i="27"/>
  <c r="R13" i="27"/>
  <c r="R14" i="27"/>
  <c r="R16" i="27"/>
  <c r="R18" i="27"/>
  <c r="R19" i="27"/>
  <c r="R20" i="27"/>
  <c r="R21" i="27"/>
  <c r="U23" i="27"/>
  <c r="R23" i="27"/>
  <c r="R24" i="27"/>
  <c r="R25" i="27"/>
  <c r="R26" i="27"/>
  <c r="R28" i="27"/>
  <c r="W6" i="27"/>
  <c r="Y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O19" i="27"/>
  <c r="O7" i="27"/>
  <c r="P7" i="27"/>
  <c r="P8" i="27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S6" i="27"/>
  <c r="Q6" i="27"/>
  <c r="S7" i="27"/>
  <c r="Q7" i="27"/>
  <c r="U7" i="27"/>
  <c r="S8" i="27"/>
  <c r="Q8" i="27"/>
  <c r="S9" i="27"/>
  <c r="U9" i="27"/>
  <c r="Q9" i="27"/>
  <c r="S10" i="27"/>
  <c r="Q10" i="27"/>
  <c r="S11" i="27"/>
  <c r="Q11" i="27"/>
  <c r="S12" i="27"/>
  <c r="U12" i="27"/>
  <c r="Q12" i="27"/>
  <c r="S13" i="27"/>
  <c r="Q13" i="27"/>
  <c r="S14" i="27"/>
  <c r="Q14" i="27"/>
  <c r="S15" i="27"/>
  <c r="Q15" i="27"/>
  <c r="U15" i="27"/>
  <c r="S16" i="27"/>
  <c r="U16" i="27"/>
  <c r="Q16" i="27"/>
  <c r="S17" i="27"/>
  <c r="Q17" i="27"/>
  <c r="U17" i="27"/>
  <c r="S18" i="27"/>
  <c r="Q18" i="27"/>
  <c r="S19" i="27"/>
  <c r="U19" i="27"/>
  <c r="Q19" i="27"/>
  <c r="S20" i="27"/>
  <c r="Q20" i="27"/>
  <c r="U20" i="27"/>
  <c r="S21" i="27"/>
  <c r="Q21" i="27"/>
  <c r="S22" i="27"/>
  <c r="U22" i="27"/>
  <c r="Q22" i="27"/>
  <c r="S23" i="27"/>
  <c r="Q23" i="27"/>
  <c r="S24" i="27"/>
  <c r="Q24" i="27"/>
  <c r="U24" i="27"/>
  <c r="S25" i="27"/>
  <c r="U25" i="27"/>
  <c r="Q25" i="27"/>
  <c r="S26" i="27"/>
  <c r="Q26" i="27"/>
  <c r="S27" i="27"/>
  <c r="Q27" i="27"/>
  <c r="S28" i="27"/>
  <c r="Q28" i="27"/>
  <c r="A1" i="30"/>
  <c r="C6" i="30"/>
  <c r="C26" i="30"/>
  <c r="C4" i="30"/>
  <c r="B4" i="30"/>
  <c r="F4" i="30"/>
  <c r="E8" i="30"/>
  <c r="A11" i="30"/>
  <c r="A22" i="30"/>
  <c r="G27" i="30"/>
  <c r="A19" i="30"/>
  <c r="E10" i="30"/>
  <c r="A6" i="30"/>
  <c r="F26" i="30"/>
  <c r="G8" i="30"/>
  <c r="B14" i="30"/>
  <c r="C22" i="30"/>
  <c r="B23" i="30"/>
  <c r="G25" i="30"/>
  <c r="A28" i="30"/>
  <c r="G24" i="30"/>
  <c r="B13" i="30"/>
  <c r="B15" i="30"/>
  <c r="B29" i="30"/>
  <c r="B22" i="30"/>
  <c r="G23" i="30"/>
  <c r="E20" i="30"/>
  <c r="G16" i="30"/>
  <c r="E5" i="30"/>
  <c r="B24" i="30"/>
  <c r="B28" i="30"/>
  <c r="E25" i="30"/>
  <c r="A13" i="30"/>
  <c r="B7" i="30"/>
  <c r="E19" i="30"/>
  <c r="F27" i="30"/>
  <c r="B19" i="30"/>
  <c r="F29" i="30"/>
  <c r="G9" i="30"/>
  <c r="C12" i="30"/>
  <c r="A14" i="30"/>
  <c r="A16" i="30"/>
  <c r="G5" i="30"/>
  <c r="A15" i="30"/>
  <c r="G21" i="30"/>
  <c r="B5" i="30"/>
  <c r="B12" i="30"/>
  <c r="B17" i="30"/>
  <c r="C28" i="30"/>
  <c r="E23" i="30"/>
  <c r="C5" i="30"/>
  <c r="F25" i="30"/>
  <c r="C25" i="30"/>
  <c r="C10" i="30"/>
  <c r="I4" i="30"/>
  <c r="E17" i="30"/>
  <c r="F9" i="30"/>
  <c r="E4" i="30"/>
  <c r="C8" i="30"/>
  <c r="E11" i="30"/>
  <c r="F22" i="30"/>
  <c r="A23" i="30"/>
  <c r="B18" i="30"/>
  <c r="F19" i="30"/>
  <c r="C19" i="30"/>
  <c r="A21" i="30"/>
  <c r="A8" i="30"/>
  <c r="A27" i="30"/>
  <c r="B11" i="30"/>
  <c r="C29" i="30"/>
  <c r="F28" i="30"/>
  <c r="F5" i="30"/>
  <c r="G15" i="30"/>
  <c r="C18" i="30"/>
  <c r="B25" i="30"/>
  <c r="E27" i="30"/>
  <c r="F23" i="30"/>
  <c r="E22" i="30"/>
  <c r="E16" i="30"/>
  <c r="C13" i="30"/>
  <c r="G19" i="30"/>
  <c r="F24" i="30"/>
  <c r="F15" i="30"/>
  <c r="F16" i="30"/>
  <c r="A20" i="30"/>
  <c r="G17" i="30"/>
  <c r="E7" i="30"/>
  <c r="B9" i="30"/>
  <c r="C23" i="30"/>
  <c r="C21" i="30"/>
  <c r="A5" i="30"/>
  <c r="A10" i="30"/>
  <c r="E9" i="30"/>
  <c r="C9" i="30"/>
  <c r="E26" i="30"/>
  <c r="G29" i="30"/>
  <c r="A4" i="30"/>
  <c r="F8" i="30"/>
  <c r="G26" i="30"/>
  <c r="B27" i="30"/>
  <c r="G14" i="30"/>
  <c r="G11" i="30"/>
  <c r="C11" i="30"/>
  <c r="G18" i="30"/>
  <c r="G28" i="30"/>
  <c r="G10" i="30"/>
  <c r="G13" i="30"/>
  <c r="E18" i="30"/>
  <c r="F10" i="30"/>
  <c r="A17" i="30"/>
  <c r="C15" i="30"/>
  <c r="B10" i="30"/>
  <c r="E12" i="30"/>
  <c r="B16" i="30"/>
  <c r="C27" i="30"/>
  <c r="B8" i="30"/>
  <c r="E21" i="30"/>
  <c r="A29" i="30"/>
  <c r="F14" i="30"/>
  <c r="G22" i="30"/>
  <c r="F11" i="30"/>
  <c r="A18" i="30"/>
  <c r="G7" i="30"/>
  <c r="A12" i="30"/>
  <c r="E13" i="30"/>
  <c r="A7" i="30"/>
  <c r="E24" i="30"/>
  <c r="B6" i="30"/>
  <c r="G12" i="30"/>
  <c r="A9" i="30"/>
  <c r="A25" i="30"/>
  <c r="B26" i="30"/>
  <c r="C7" i="30"/>
  <c r="A26" i="30"/>
  <c r="F6" i="30"/>
  <c r="C20" i="30"/>
  <c r="B21" i="30"/>
  <c r="A24" i="30"/>
  <c r="B20" i="30"/>
  <c r="F7" i="30"/>
  <c r="C14" i="30"/>
  <c r="F21" i="30"/>
  <c r="F20" i="30"/>
  <c r="C16" i="30"/>
  <c r="E15" i="30"/>
  <c r="D4" i="30"/>
  <c r="F12" i="30"/>
  <c r="G20" i="30"/>
  <c r="F13" i="30"/>
  <c r="C24" i="30"/>
  <c r="E14" i="30"/>
  <c r="F18" i="30"/>
  <c r="C17" i="30"/>
  <c r="G4" i="30"/>
  <c r="F17" i="30"/>
  <c r="G6" i="30"/>
  <c r="E6" i="30"/>
  <c r="U28" i="27"/>
  <c r="U21" i="27"/>
  <c r="U29" i="27"/>
  <c r="U14" i="27"/>
  <c r="U18" i="27"/>
  <c r="U8" i="27"/>
  <c r="U27" i="27"/>
  <c r="U11" i="27"/>
  <c r="U26" i="27"/>
  <c r="U10" i="27"/>
  <c r="P9" i="27"/>
  <c r="P10" i="27"/>
  <c r="P11" i="27"/>
  <c r="P12" i="27"/>
  <c r="U13" i="27"/>
  <c r="W7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U6" i="27"/>
  <c r="V6" i="27"/>
  <c r="V7" i="27"/>
  <c r="R32" i="27"/>
  <c r="R35" i="27"/>
  <c r="R31" i="27"/>
  <c r="R37" i="27"/>
  <c r="R29" i="27"/>
  <c r="R34" i="27"/>
  <c r="R30" i="27"/>
  <c r="R33" i="27"/>
  <c r="R36" i="27"/>
  <c r="R27" i="27"/>
  <c r="R22" i="27"/>
  <c r="R15" i="27"/>
  <c r="R10" i="27"/>
  <c r="E28" i="30"/>
  <c r="D5" i="30"/>
  <c r="W8" i="27"/>
  <c r="V8" i="27"/>
  <c r="U30" i="27"/>
  <c r="Z6" i="27"/>
  <c r="V9" i="27"/>
  <c r="E29" i="30"/>
  <c r="D6" i="30"/>
  <c r="I5" i="30"/>
  <c r="U31" i="27"/>
  <c r="Z7" i="27"/>
  <c r="W9" i="27"/>
  <c r="V10" i="27"/>
  <c r="I6" i="30"/>
  <c r="D7" i="30"/>
  <c r="W10" i="27"/>
  <c r="Z8" i="27"/>
  <c r="U32" i="27"/>
  <c r="V11" i="27"/>
  <c r="I7" i="30"/>
  <c r="D8" i="30"/>
  <c r="U33" i="27"/>
  <c r="W11" i="27"/>
  <c r="Z9" i="27"/>
  <c r="V12" i="27"/>
  <c r="I8" i="30"/>
  <c r="D9" i="30"/>
  <c r="U34" i="27"/>
  <c r="W12" i="27"/>
  <c r="Z10" i="27"/>
  <c r="V13" i="27"/>
  <c r="I9" i="30"/>
  <c r="D10" i="30"/>
  <c r="Z11" i="27"/>
  <c r="W13" i="27"/>
  <c r="U35" i="27"/>
  <c r="V14" i="27"/>
  <c r="I10" i="30"/>
  <c r="D11" i="30"/>
  <c r="Z12" i="27"/>
  <c r="U36" i="27"/>
  <c r="U37" i="27"/>
  <c r="W14" i="27"/>
  <c r="V15" i="27"/>
  <c r="I11" i="30"/>
  <c r="D12" i="30"/>
  <c r="W15" i="27"/>
  <c r="Z13" i="27"/>
  <c r="V16" i="27"/>
  <c r="I12" i="30"/>
  <c r="D13" i="30"/>
  <c r="W16" i="27"/>
  <c r="Z14" i="27"/>
  <c r="V17" i="27"/>
  <c r="I13" i="30"/>
  <c r="D14" i="30"/>
  <c r="W17" i="27"/>
  <c r="Z15" i="27"/>
  <c r="V18" i="27"/>
  <c r="I14" i="30"/>
  <c r="D15" i="30"/>
  <c r="W18" i="27"/>
  <c r="Z16" i="27"/>
  <c r="V19" i="27"/>
  <c r="I15" i="30"/>
  <c r="D16" i="30"/>
  <c r="W19" i="27"/>
  <c r="Z17" i="27"/>
  <c r="V20" i="27"/>
  <c r="I16" i="30"/>
  <c r="D17" i="30"/>
  <c r="W20" i="27"/>
  <c r="Z18" i="27"/>
  <c r="V21" i="27"/>
  <c r="I17" i="30"/>
  <c r="D18" i="30"/>
  <c r="W21" i="27"/>
  <c r="Z19" i="27"/>
  <c r="V22" i="27"/>
  <c r="I18" i="30"/>
  <c r="D19" i="30"/>
  <c r="W22" i="27"/>
  <c r="Z20" i="27"/>
  <c r="V23" i="27"/>
  <c r="I19" i="30"/>
  <c r="D20" i="30"/>
  <c r="W23" i="27"/>
  <c r="Z21" i="27"/>
  <c r="V24" i="27"/>
  <c r="I20" i="30"/>
  <c r="D21" i="30"/>
  <c r="W24" i="27"/>
  <c r="Z22" i="27"/>
  <c r="V25" i="27"/>
  <c r="I21" i="30"/>
  <c r="D22" i="30"/>
  <c r="W25" i="27"/>
  <c r="Z23" i="27"/>
  <c r="V26" i="27"/>
  <c r="I22" i="30"/>
  <c r="D23" i="30"/>
  <c r="W26" i="27"/>
  <c r="Z24" i="27"/>
  <c r="V27" i="27"/>
  <c r="I23" i="30"/>
  <c r="D24" i="30"/>
  <c r="W27" i="27"/>
  <c r="Z25" i="27"/>
  <c r="V28" i="27"/>
  <c r="I24" i="30"/>
  <c r="D25" i="30"/>
  <c r="W28" i="27"/>
  <c r="Z26" i="27"/>
  <c r="V29" i="27"/>
  <c r="I25" i="30"/>
  <c r="D26" i="30"/>
  <c r="W29" i="27"/>
  <c r="Z27" i="27"/>
  <c r="V30" i="27"/>
  <c r="H4" i="30"/>
  <c r="I26" i="30"/>
  <c r="D27" i="30"/>
  <c r="Z28" i="27"/>
  <c r="W30" i="27"/>
  <c r="V31" i="27"/>
  <c r="H5" i="30"/>
  <c r="D28" i="30"/>
  <c r="I27" i="30"/>
  <c r="Z29" i="27"/>
  <c r="W31" i="27"/>
  <c r="V32" i="27"/>
  <c r="H6" i="30"/>
  <c r="D29" i="30"/>
  <c r="I28" i="30"/>
  <c r="W32" i="27"/>
  <c r="Z30" i="27"/>
  <c r="V33" i="27"/>
  <c r="H7" i="30"/>
  <c r="H8" i="30"/>
  <c r="H9" i="30"/>
  <c r="H10" i="30"/>
  <c r="H11" i="30"/>
  <c r="D30" i="30"/>
  <c r="I29" i="30"/>
  <c r="H12" i="30"/>
  <c r="Z31" i="27"/>
  <c r="W33" i="27"/>
  <c r="V34" i="27"/>
  <c r="I30" i="30"/>
  <c r="D31" i="30"/>
  <c r="H13" i="30"/>
  <c r="Z32" i="27"/>
  <c r="W34" i="27"/>
  <c r="V35" i="27"/>
  <c r="I31" i="30"/>
  <c r="D32" i="30"/>
  <c r="H14" i="30"/>
  <c r="Z33" i="27"/>
  <c r="W35" i="27"/>
  <c r="V36" i="27"/>
  <c r="I32" i="30"/>
  <c r="D33" i="30"/>
  <c r="H15" i="30"/>
  <c r="Z34" i="27"/>
  <c r="W36" i="27"/>
  <c r="V37" i="27"/>
  <c r="I33" i="30"/>
  <c r="D34" i="30"/>
  <c r="H16" i="30"/>
  <c r="Z35" i="27"/>
  <c r="W37" i="27"/>
  <c r="I34" i="30"/>
  <c r="I35" i="30"/>
  <c r="D35" i="30"/>
  <c r="H18" i="30"/>
  <c r="H28" i="30"/>
  <c r="H32" i="30"/>
  <c r="H21" i="30"/>
  <c r="H27" i="30"/>
  <c r="H31" i="30"/>
  <c r="H20" i="30"/>
  <c r="H23" i="30"/>
  <c r="H17" i="30"/>
  <c r="H29" i="30"/>
  <c r="H25" i="30"/>
  <c r="H26" i="30"/>
  <c r="H30" i="30"/>
  <c r="H24" i="30"/>
  <c r="H34" i="30"/>
  <c r="H33" i="30"/>
  <c r="H19" i="30"/>
  <c r="H22" i="30"/>
  <c r="Z37" i="27"/>
  <c r="Z36" i="27"/>
  <c r="H35" i="30"/>
</calcChain>
</file>

<file path=xl/sharedStrings.xml><?xml version="1.0" encoding="utf-8"?>
<sst xmlns="http://schemas.openxmlformats.org/spreadsheetml/2006/main" count="81" uniqueCount="67">
  <si>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</si>
  <si>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</si>
  <si>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</si>
  <si>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</si>
  <si>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</si>
  <si>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</si>
  <si>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</si>
  <si>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</si>
  <si>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</si>
  <si>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</si>
  <si>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</si>
  <si>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</si>
  <si>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</si>
  <si>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</si>
  <si>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</si>
  <si>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</si>
  <si>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</si>
  <si>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</si>
  <si>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</si>
  <si>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</si>
  <si>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</si>
  <si>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</si>
  <si>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</si>
  <si>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</si>
  <si>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</si>
  <si>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</si>
  <si>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</si>
  <si>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</si>
  <si>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</si>
  <si>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</si>
  <si>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</si>
  <si>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</si>
  <si>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</si>
  <si>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</si>
  <si>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</si>
  <si>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</si>
  <si>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</si>
  <si>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</si>
  <si>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</si>
  <si>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</si>
  <si>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</si>
  <si>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</si>
  <si>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</si>
  <si>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</si>
  <si>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</si>
  <si>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</si>
  <si>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</si>
  <si>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</si>
  <si>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</si>
  <si>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</si>
  <si>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UT-GOM2-1-H005-7FB-4 / 035-026</t>
  </si>
  <si>
    <t>Yellow</t>
  </si>
  <si>
    <t>Cu tube 39</t>
  </si>
  <si>
    <t>Cu tube 42</t>
  </si>
  <si>
    <t>Cu tube 43</t>
  </si>
  <si>
    <t>UT-GOM2-1-H005-7FB-4</t>
  </si>
  <si>
    <t>22Y</t>
  </si>
  <si>
    <t>23Y</t>
  </si>
  <si>
    <t>24Y</t>
  </si>
  <si>
    <t>25Y</t>
  </si>
  <si>
    <t>26Y</t>
  </si>
  <si>
    <t>27Y</t>
  </si>
  <si>
    <t>28Y</t>
  </si>
  <si>
    <t>29Y</t>
  </si>
  <si>
    <t>30Y</t>
  </si>
  <si>
    <t>1Y</t>
  </si>
  <si>
    <t>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</si>
</sst>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'UT-GOM2-1-H005-7FB-4'!$Z$4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'UT-GOM2-1-H005-7FB-4'!$Z$6:$Z$37</c:f>
              <c:numCache>
                <c:formatCode>0.00</c:formatCode>
                <c:ptCount val="32"/>
                <c:pt idx="0">
                  <c:v>0.0</c:v>
                </c:pt>
                <c:pt idx="1">
                  <c:v>0.0905386115248888</c:v>
                </c:pt>
                <c:pt idx="2">
                  <c:v>0.637042395260624</c:v>
                </c:pt>
                <c:pt idx="3">
                  <c:v>0.849215896599643</c:v>
                </c:pt>
                <c:pt idx="4">
                  <c:v>0.946749661730693</c:v>
                </c:pt>
                <c:pt idx="5">
                  <c:v>0.972216967984508</c:v>
                </c:pt>
                <c:pt idx="6">
                  <c:v>0.924712558194757</c:v>
                </c:pt>
                <c:pt idx="7">
                  <c:v>0.773045422628247</c:v>
                </c:pt>
                <c:pt idx="8">
                  <c:v>0.774670078756865</c:v>
                </c:pt>
                <c:pt idx="9">
                  <c:v>0.687992625220358</c:v>
                </c:pt>
                <c:pt idx="10">
                  <c:v>0.77603993914788</c:v>
                </c:pt>
                <c:pt idx="11">
                  <c:v>0.807193967614661</c:v>
                </c:pt>
                <c:pt idx="12">
                  <c:v>0.949468904639896</c:v>
                </c:pt>
                <c:pt idx="13">
                  <c:v>1.109521990575009</c:v>
                </c:pt>
                <c:pt idx="14">
                  <c:v>1.290185737426594</c:v>
                </c:pt>
                <c:pt idx="15">
                  <c:v>1.88461984779572</c:v>
                </c:pt>
                <c:pt idx="16">
                  <c:v>2.116081688412148</c:v>
                </c:pt>
                <c:pt idx="17">
                  <c:v>2.537365283605635</c:v>
                </c:pt>
                <c:pt idx="18">
                  <c:v>2.709390048595847</c:v>
                </c:pt>
                <c:pt idx="19">
                  <c:v>3.182458152318932</c:v>
                </c:pt>
                <c:pt idx="20">
                  <c:v>3.561934315983233</c:v>
                </c:pt>
                <c:pt idx="21">
                  <c:v>4.69758815344749</c:v>
                </c:pt>
                <c:pt idx="22">
                  <c:v>5.966171066672845</c:v>
                </c:pt>
                <c:pt idx="23">
                  <c:v>7.735772670763511</c:v>
                </c:pt>
                <c:pt idx="24">
                  <c:v>9.216127149095183</c:v>
                </c:pt>
                <c:pt idx="25">
                  <c:v>9.97573427535739</c:v>
                </c:pt>
                <c:pt idx="26">
                  <c:v>10.95218088884145</c:v>
                </c:pt>
                <c:pt idx="27">
                  <c:v>11.4562825499006</c:v>
                </c:pt>
                <c:pt idx="28">
                  <c:v>11.7076871222829</c:v>
                </c:pt>
                <c:pt idx="29">
                  <c:v>12.01053227101927</c:v>
                </c:pt>
                <c:pt idx="30">
                  <c:v>12.15619326652073</c:v>
                </c:pt>
                <c:pt idx="31">
                  <c:v>12.33408623246521</c:v>
                </c:pt>
              </c:numCache>
            </c:numRef>
          </c:xVal>
          <c:yVal>
            <c:numRef>
              <c:f>'UT-GOM2-1-H005-7FB-4'!$AB$6:$AB$37</c:f>
              <c:numCache>
                <c:formatCode>0.0</c:formatCode>
                <c:ptCount val="32"/>
                <c:pt idx="0">
                  <c:v>20.2</c:v>
                </c:pt>
                <c:pt idx="1">
                  <c:v>15.0</c:v>
                </c:pt>
                <c:pt idx="2">
                  <c:v>13.1</c:v>
                </c:pt>
                <c:pt idx="3">
                  <c:v>12.1</c:v>
                </c:pt>
                <c:pt idx="4">
                  <c:v>10.9</c:v>
                </c:pt>
                <c:pt idx="5">
                  <c:v>10.0</c:v>
                </c:pt>
                <c:pt idx="6">
                  <c:v>8.9</c:v>
                </c:pt>
                <c:pt idx="7">
                  <c:v>7.3</c:v>
                </c:pt>
                <c:pt idx="8">
                  <c:v>6.4</c:v>
                </c:pt>
                <c:pt idx="9">
                  <c:v>5.4</c:v>
                </c:pt>
                <c:pt idx="10">
                  <c:v>5.0</c:v>
                </c:pt>
                <c:pt idx="11">
                  <c:v>4.8</c:v>
                </c:pt>
                <c:pt idx="12">
                  <c:v>4.6</c:v>
                </c:pt>
                <c:pt idx="13">
                  <c:v>4.5</c:v>
                </c:pt>
                <c:pt idx="14">
                  <c:v>4.5</c:v>
                </c:pt>
                <c:pt idx="15">
                  <c:v>4.4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4.3</c:v>
                </c:pt>
                <c:pt idx="21">
                  <c:v>3.5</c:v>
                </c:pt>
                <c:pt idx="22">
                  <c:v>3.1</c:v>
                </c:pt>
                <c:pt idx="23">
                  <c:v>2.9</c:v>
                </c:pt>
                <c:pt idx="24">
                  <c:v>2.5</c:v>
                </c:pt>
                <c:pt idx="25">
                  <c:v>2.0</c:v>
                </c:pt>
                <c:pt idx="26">
                  <c:v>1.7</c:v>
                </c:pt>
                <c:pt idx="27">
                  <c:v>1.2</c:v>
                </c:pt>
                <c:pt idx="28">
                  <c:v>0.8</c:v>
                </c:pt>
                <c:pt idx="29">
                  <c:v>0.5</c:v>
                </c:pt>
                <c:pt idx="30">
                  <c:v>0.0</c:v>
                </c:pt>
                <c:pt idx="31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'UT-GOM2-1-H005-7FB-4'!$U$4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'UT-GOM2-1-H005-7FB-4'!$V$6:$V$37</c:f>
              <c:numCache>
                <c:formatCode>0.00</c:formatCode>
                <c:ptCount val="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0.415888567707859</c:v>
                </c:pt>
                <c:pt idx="22">
                  <c:v>1.214001961515204</c:v>
                </c:pt>
                <c:pt idx="23">
                  <c:v>2.746896389808385</c:v>
                </c:pt>
                <c:pt idx="24">
                  <c:v>4.33062925344437</c:v>
                </c:pt>
                <c:pt idx="25">
                  <c:v>5.747901891510936</c:v>
                </c:pt>
                <c:pt idx="26">
                  <c:v>7.165387905466369</c:v>
                </c:pt>
                <c:pt idx="27">
                  <c:v>8.620586828767924</c:v>
                </c:pt>
                <c:pt idx="28">
                  <c:v>9.464806616107798</c:v>
                </c:pt>
                <c:pt idx="29">
                  <c:v>10.17088119247709</c:v>
                </c:pt>
                <c:pt idx="30">
                  <c:v>11.83621596981904</c:v>
                </c:pt>
                <c:pt idx="31">
                  <c:v>12.01134442621213</c:v>
                </c:pt>
              </c:numCache>
            </c:numRef>
          </c:xVal>
          <c:yVal>
            <c:numRef>
              <c:f>'UT-GOM2-1-H005-7FB-4'!$AB$6:$AB$37</c:f>
              <c:numCache>
                <c:formatCode>0.0</c:formatCode>
                <c:ptCount val="32"/>
                <c:pt idx="0">
                  <c:v>20.2</c:v>
                </c:pt>
                <c:pt idx="1">
                  <c:v>15.0</c:v>
                </c:pt>
                <c:pt idx="2">
                  <c:v>13.1</c:v>
                </c:pt>
                <c:pt idx="3">
                  <c:v>12.1</c:v>
                </c:pt>
                <c:pt idx="4">
                  <c:v>10.9</c:v>
                </c:pt>
                <c:pt idx="5">
                  <c:v>10.0</c:v>
                </c:pt>
                <c:pt idx="6">
                  <c:v>8.9</c:v>
                </c:pt>
                <c:pt idx="7">
                  <c:v>7.3</c:v>
                </c:pt>
                <c:pt idx="8">
                  <c:v>6.4</c:v>
                </c:pt>
                <c:pt idx="9">
                  <c:v>5.4</c:v>
                </c:pt>
                <c:pt idx="10">
                  <c:v>5.0</c:v>
                </c:pt>
                <c:pt idx="11">
                  <c:v>4.8</c:v>
                </c:pt>
                <c:pt idx="12">
                  <c:v>4.6</c:v>
                </c:pt>
                <c:pt idx="13">
                  <c:v>4.5</c:v>
                </c:pt>
                <c:pt idx="14">
                  <c:v>4.5</c:v>
                </c:pt>
                <c:pt idx="15">
                  <c:v>4.4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4.3</c:v>
                </c:pt>
                <c:pt idx="21">
                  <c:v>3.5</c:v>
                </c:pt>
                <c:pt idx="22">
                  <c:v>3.1</c:v>
                </c:pt>
                <c:pt idx="23">
                  <c:v>2.9</c:v>
                </c:pt>
                <c:pt idx="24">
                  <c:v>2.5</c:v>
                </c:pt>
                <c:pt idx="25">
                  <c:v>2.0</c:v>
                </c:pt>
                <c:pt idx="26">
                  <c:v>1.7</c:v>
                </c:pt>
                <c:pt idx="27">
                  <c:v>1.2</c:v>
                </c:pt>
                <c:pt idx="28">
                  <c:v>0.8</c:v>
                </c:pt>
                <c:pt idx="29">
                  <c:v>0.5</c:v>
                </c:pt>
                <c:pt idx="30">
                  <c:v>0.0</c:v>
                </c:pt>
                <c:pt idx="31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'UT-GOM2-1-H005-7FB-4'!$W$4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'UT-GOM2-1-H005-7FB-4'!$Y$6:$Y$37</c:f>
              <c:numCache>
                <c:formatCode>0.00</c:formatCode>
                <c:ptCount val="32"/>
                <c:pt idx="0">
                  <c:v>0.0</c:v>
                </c:pt>
                <c:pt idx="1">
                  <c:v>0.0905386115248888</c:v>
                </c:pt>
                <c:pt idx="2">
                  <c:v>0.637042395260624</c:v>
                </c:pt>
                <c:pt idx="3">
                  <c:v>0.849215896599643</c:v>
                </c:pt>
                <c:pt idx="4">
                  <c:v>0.946749661730693</c:v>
                </c:pt>
                <c:pt idx="5">
                  <c:v>0.972216967984508</c:v>
                </c:pt>
                <c:pt idx="6">
                  <c:v>0.924712558194757</c:v>
                </c:pt>
                <c:pt idx="7">
                  <c:v>0.773045422628247</c:v>
                </c:pt>
                <c:pt idx="8">
                  <c:v>0.774670078756865</c:v>
                </c:pt>
                <c:pt idx="9">
                  <c:v>0.687992625220358</c:v>
                </c:pt>
                <c:pt idx="10">
                  <c:v>0.77603993914788</c:v>
                </c:pt>
                <c:pt idx="11">
                  <c:v>0.807193967614661</c:v>
                </c:pt>
                <c:pt idx="12">
                  <c:v>0.949468904639896</c:v>
                </c:pt>
                <c:pt idx="13">
                  <c:v>1.109521990575009</c:v>
                </c:pt>
                <c:pt idx="14">
                  <c:v>1.290185737426594</c:v>
                </c:pt>
                <c:pt idx="15">
                  <c:v>1.88461984779572</c:v>
                </c:pt>
                <c:pt idx="16">
                  <c:v>2.116081688412148</c:v>
                </c:pt>
                <c:pt idx="17">
                  <c:v>2.537365283605635</c:v>
                </c:pt>
                <c:pt idx="18">
                  <c:v>2.709390048595847</c:v>
                </c:pt>
                <c:pt idx="19">
                  <c:v>3.182458152318932</c:v>
                </c:pt>
                <c:pt idx="20">
                  <c:v>3.561934315983233</c:v>
                </c:pt>
                <c:pt idx="21">
                  <c:v>4.28169958573963</c:v>
                </c:pt>
                <c:pt idx="22">
                  <c:v>4.75216910515764</c:v>
                </c:pt>
                <c:pt idx="23">
                  <c:v>4.988876280955126</c:v>
                </c:pt>
                <c:pt idx="24">
                  <c:v>4.885497895650811</c:v>
                </c:pt>
                <c:pt idx="25">
                  <c:v>4.227832383846455</c:v>
                </c:pt>
                <c:pt idx="26">
                  <c:v>3.786792983375084</c:v>
                </c:pt>
                <c:pt idx="27">
                  <c:v>2.835695721132676</c:v>
                </c:pt>
                <c:pt idx="28">
                  <c:v>2.2428805061751</c:v>
                </c:pt>
                <c:pt idx="29">
                  <c:v>1.839651078542182</c:v>
                </c:pt>
                <c:pt idx="30">
                  <c:v>0.319977296701687</c:v>
                </c:pt>
                <c:pt idx="31">
                  <c:v>0.322741806253077</c:v>
                </c:pt>
              </c:numCache>
            </c:numRef>
          </c:xVal>
          <c:yVal>
            <c:numRef>
              <c:f>'UT-GOM2-1-H005-7FB-4'!$AB$6:$AB$37</c:f>
              <c:numCache>
                <c:formatCode>0.0</c:formatCode>
                <c:ptCount val="32"/>
                <c:pt idx="0">
                  <c:v>20.2</c:v>
                </c:pt>
                <c:pt idx="1">
                  <c:v>15.0</c:v>
                </c:pt>
                <c:pt idx="2">
                  <c:v>13.1</c:v>
                </c:pt>
                <c:pt idx="3">
                  <c:v>12.1</c:v>
                </c:pt>
                <c:pt idx="4">
                  <c:v>10.9</c:v>
                </c:pt>
                <c:pt idx="5">
                  <c:v>10.0</c:v>
                </c:pt>
                <c:pt idx="6">
                  <c:v>8.9</c:v>
                </c:pt>
                <c:pt idx="7">
                  <c:v>7.3</c:v>
                </c:pt>
                <c:pt idx="8">
                  <c:v>6.4</c:v>
                </c:pt>
                <c:pt idx="9">
                  <c:v>5.4</c:v>
                </c:pt>
                <c:pt idx="10">
                  <c:v>5.0</c:v>
                </c:pt>
                <c:pt idx="11">
                  <c:v>4.8</c:v>
                </c:pt>
                <c:pt idx="12">
                  <c:v>4.6</c:v>
                </c:pt>
                <c:pt idx="13">
                  <c:v>4.5</c:v>
                </c:pt>
                <c:pt idx="14">
                  <c:v>4.5</c:v>
                </c:pt>
                <c:pt idx="15">
                  <c:v>4.4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4.3</c:v>
                </c:pt>
                <c:pt idx="21">
                  <c:v>3.5</c:v>
                </c:pt>
                <c:pt idx="22">
                  <c:v>3.1</c:v>
                </c:pt>
                <c:pt idx="23">
                  <c:v>2.9</c:v>
                </c:pt>
                <c:pt idx="24">
                  <c:v>2.5</c:v>
                </c:pt>
                <c:pt idx="25">
                  <c:v>2.0</c:v>
                </c:pt>
                <c:pt idx="26">
                  <c:v>1.7</c:v>
                </c:pt>
                <c:pt idx="27">
                  <c:v>1.2</c:v>
                </c:pt>
                <c:pt idx="28">
                  <c:v>0.8</c:v>
                </c:pt>
                <c:pt idx="29">
                  <c:v>0.5</c:v>
                </c:pt>
                <c:pt idx="30">
                  <c:v>0.0</c:v>
                </c:pt>
                <c:pt idx="3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63080"/>
        <c:axId val="-2061881384"/>
      </c:scatterChart>
      <c:valAx>
        <c:axId val="2121663080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1881384"/>
        <c:crosses val="autoZero"/>
        <c:crossBetween val="midCat"/>
        <c:minorUnit val="1.0"/>
      </c:valAx>
      <c:valAx>
        <c:axId val="-2061881384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63080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UT-GOM2-1-H005-7FB-4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7"/>
  <sheetViews>
    <sheetView zoomScale="75" zoomScaleNormal="75" zoomScalePageLayoutView="75" workbookViewId="0">
      <selection activeCell="M41" sqref="M41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7" t="s">
        <v>1</v>
      </c>
      <c r="B1" s="98"/>
      <c r="C1" s="98"/>
      <c r="D1" s="98"/>
      <c r="E1" s="98"/>
      <c r="F1" s="99">
        <v>41425</v>
      </c>
      <c r="G1" s="100"/>
      <c r="H1" s="101"/>
      <c r="I1" s="102" t="s">
        <v>11</v>
      </c>
      <c r="J1" s="98"/>
      <c r="K1" s="98"/>
      <c r="L1" s="100" t="s">
        <v>50</v>
      </c>
      <c r="M1" s="100"/>
      <c r="N1" s="101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92" t="s">
        <v>10</v>
      </c>
      <c r="B2" s="93"/>
      <c r="C2" s="93"/>
      <c r="D2" s="93"/>
      <c r="E2" s="93"/>
      <c r="F2" s="94">
        <v>1011</v>
      </c>
      <c r="G2" s="94"/>
      <c r="H2" s="95"/>
      <c r="I2" s="96" t="s">
        <v>4</v>
      </c>
      <c r="J2" s="93"/>
      <c r="K2" s="93"/>
      <c r="L2" s="94" t="s">
        <v>51</v>
      </c>
      <c r="M2" s="94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Q3" s="109" t="s">
        <v>35</v>
      </c>
      <c r="R3" s="110"/>
      <c r="S3" s="111"/>
    </row>
    <row r="4" spans="1:28" ht="25" customHeight="1">
      <c r="A4" s="82" t="s">
        <v>17</v>
      </c>
      <c r="B4" s="74" t="s">
        <v>16</v>
      </c>
      <c r="C4" s="84" t="s">
        <v>28</v>
      </c>
      <c r="D4" s="76" t="s">
        <v>31</v>
      </c>
      <c r="E4" s="78"/>
      <c r="F4" s="76" t="s">
        <v>3</v>
      </c>
      <c r="G4" s="77"/>
      <c r="H4" s="56"/>
      <c r="I4" s="86" t="s">
        <v>2</v>
      </c>
      <c r="J4" s="86"/>
      <c r="K4" s="86"/>
      <c r="L4" s="87"/>
      <c r="M4" s="88" t="s">
        <v>26</v>
      </c>
      <c r="N4" s="90" t="s">
        <v>29</v>
      </c>
      <c r="O4" s="108" t="s">
        <v>34</v>
      </c>
      <c r="P4" s="107"/>
      <c r="Q4" s="47" t="s">
        <v>37</v>
      </c>
      <c r="R4" s="112" t="s">
        <v>36</v>
      </c>
      <c r="S4" s="113"/>
      <c r="T4" s="72" t="s">
        <v>38</v>
      </c>
      <c r="U4" s="106" t="s">
        <v>32</v>
      </c>
      <c r="V4" s="107"/>
      <c r="W4" s="103" t="s">
        <v>45</v>
      </c>
      <c r="X4" s="104"/>
      <c r="Y4" s="105"/>
      <c r="Z4" s="51" t="s">
        <v>33</v>
      </c>
      <c r="AB4" s="51" t="s">
        <v>48</v>
      </c>
    </row>
    <row r="5" spans="1:28" s="4" customFormat="1" ht="77.25" customHeight="1" thickBot="1">
      <c r="A5" s="83"/>
      <c r="B5" s="75"/>
      <c r="C5" s="85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89"/>
      <c r="N5" s="91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>
      <c r="A6" s="23">
        <v>1</v>
      </c>
      <c r="B6" s="24">
        <v>41425</v>
      </c>
      <c r="C6" s="25">
        <v>0.33749999999999997</v>
      </c>
      <c r="D6" s="26">
        <v>202</v>
      </c>
      <c r="E6" s="27">
        <v>202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7.5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4122</v>
      </c>
      <c r="S6" s="63">
        <f>IF(I6=J6,0,R6*(J6-I6))*273/(273+L6)</f>
        <v>0</v>
      </c>
      <c r="T6" s="73">
        <f t="shared" ref="T6:T25" si="2">T7</f>
        <v>97.01906338932794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20.2</v>
      </c>
    </row>
    <row r="7" spans="1:28" s="40" customFormat="1" ht="20.25" customHeight="1">
      <c r="A7" s="35">
        <f>A6+1</f>
        <v>2</v>
      </c>
      <c r="B7" s="24">
        <v>41425</v>
      </c>
      <c r="C7" s="25">
        <v>0.33749999999999997</v>
      </c>
      <c r="D7" s="26">
        <v>202</v>
      </c>
      <c r="E7" s="27">
        <v>150</v>
      </c>
      <c r="F7" s="36">
        <v>0</v>
      </c>
      <c r="G7" s="29">
        <v>3</v>
      </c>
      <c r="H7" s="37"/>
      <c r="I7" s="31">
        <v>1</v>
      </c>
      <c r="J7" s="31">
        <v>1</v>
      </c>
      <c r="K7" s="32">
        <v>0</v>
      </c>
      <c r="L7" s="27">
        <v>10.3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20" si="4">IF(I7=J7,0,R7*(J7-I7))*273/(273+L7)</f>
        <v>0</v>
      </c>
      <c r="T7" s="73">
        <f t="shared" si="2"/>
        <v>97.01906338932794</v>
      </c>
      <c r="U7" s="61">
        <f>(S7+Q7)*T7/100</f>
        <v>0</v>
      </c>
      <c r="V7" s="64">
        <f t="shared" ref="V7:V9" si="5">V6+U7/1000</f>
        <v>0</v>
      </c>
      <c r="W7" s="64">
        <f>W6+(G7+K7)/1000</f>
        <v>3.0000000000000001E-3</v>
      </c>
      <c r="X7" s="71">
        <f>0.026*EXP(-0.016*E7)</f>
        <v>2.3586667855247253E-3</v>
      </c>
      <c r="Y7" s="64">
        <f>(W7-(X7-X6))*(E7+1)*1*273/(273+L7)*T7/100</f>
        <v>9.0538611524888776E-2</v>
      </c>
      <c r="Z7" s="64">
        <f>V7+Y7</f>
        <v>9.0538611524888776E-2</v>
      </c>
      <c r="AB7" s="70">
        <f t="shared" ref="AB7:AB28" si="6">E7/10</f>
        <v>15</v>
      </c>
    </row>
    <row r="8" spans="1:28" s="40" customFormat="1" ht="20.25" customHeight="1">
      <c r="A8" s="35">
        <f t="shared" ref="A8:A37" si="7">A7+1</f>
        <v>3</v>
      </c>
      <c r="B8" s="24">
        <v>41425</v>
      </c>
      <c r="C8" s="25">
        <v>0.34027777777777773</v>
      </c>
      <c r="D8" s="26">
        <v>150</v>
      </c>
      <c r="E8" s="27">
        <v>131</v>
      </c>
      <c r="F8" s="36">
        <v>0</v>
      </c>
      <c r="G8" s="29">
        <v>3</v>
      </c>
      <c r="H8" s="37"/>
      <c r="I8" s="31">
        <v>1</v>
      </c>
      <c r="J8" s="31">
        <v>1</v>
      </c>
      <c r="K8" s="32">
        <v>0</v>
      </c>
      <c r="L8" s="27">
        <v>10.3</v>
      </c>
      <c r="M8" s="38"/>
      <c r="N8" s="39"/>
      <c r="O8" s="61">
        <f t="shared" si="3"/>
        <v>4.0000000025611371</v>
      </c>
      <c r="P8" s="64">
        <f t="shared" ref="P8:P20" si="8">P7+O8/60</f>
        <v>6.6666666709352285E-2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73">
        <f t="shared" si="2"/>
        <v>97.01906338932794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6.0000000000000001E-3</v>
      </c>
      <c r="X8" s="71">
        <f t="shared" ref="X8:X37" si="11">0.026*EXP(-0.016*E8)</f>
        <v>3.1966281080481537E-3</v>
      </c>
      <c r="Y8" s="64">
        <f t="shared" ref="Y8:Y37" si="12">(W8-(X8-X7))*(E8+1)*1*273/(273+L8)*T8/100</f>
        <v>0.63704239526062456</v>
      </c>
      <c r="Z8" s="64">
        <f t="shared" ref="Z8:Z20" si="13">V8+Y8</f>
        <v>0.63704239526062456</v>
      </c>
      <c r="AB8" s="70">
        <f t="shared" si="6"/>
        <v>13.1</v>
      </c>
    </row>
    <row r="9" spans="1:28" s="40" customFormat="1" ht="20.25" customHeight="1">
      <c r="A9" s="35">
        <f t="shared" si="7"/>
        <v>4</v>
      </c>
      <c r="B9" s="24">
        <v>41425</v>
      </c>
      <c r="C9" s="25">
        <v>0.3527777777777778</v>
      </c>
      <c r="D9" s="26">
        <v>131</v>
      </c>
      <c r="E9" s="27">
        <v>121</v>
      </c>
      <c r="F9" s="36">
        <v>0</v>
      </c>
      <c r="G9" s="29">
        <v>2</v>
      </c>
      <c r="H9" s="37"/>
      <c r="I9" s="31">
        <v>1</v>
      </c>
      <c r="J9" s="31">
        <v>1</v>
      </c>
      <c r="K9" s="32">
        <v>0</v>
      </c>
      <c r="L9" s="27">
        <v>10.3</v>
      </c>
      <c r="M9" s="38"/>
      <c r="N9" s="39"/>
      <c r="O9" s="61">
        <f t="shared" si="3"/>
        <v>17.999999995809048</v>
      </c>
      <c r="P9" s="64">
        <f t="shared" si="8"/>
        <v>0.36666666663950309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73">
        <f t="shared" si="2"/>
        <v>97.01906338932794</v>
      </c>
      <c r="U9" s="61">
        <f t="shared" si="9"/>
        <v>0</v>
      </c>
      <c r="V9" s="64">
        <f t="shared" si="5"/>
        <v>0</v>
      </c>
      <c r="W9" s="64">
        <f t="shared" si="10"/>
        <v>8.0000000000000002E-3</v>
      </c>
      <c r="X9" s="71">
        <f t="shared" si="11"/>
        <v>3.7512778353124923E-3</v>
      </c>
      <c r="Y9" s="64">
        <f t="shared" si="12"/>
        <v>0.84921589659964325</v>
      </c>
      <c r="Z9" s="64">
        <f t="shared" si="13"/>
        <v>0.84921589659964325</v>
      </c>
      <c r="AB9" s="70">
        <f t="shared" si="6"/>
        <v>12.1</v>
      </c>
    </row>
    <row r="10" spans="1:28" s="40" customFormat="1" ht="20.25" customHeight="1">
      <c r="A10" s="35">
        <f t="shared" si="7"/>
        <v>5</v>
      </c>
      <c r="B10" s="24">
        <v>41425</v>
      </c>
      <c r="C10" s="25">
        <v>0.36249999999999999</v>
      </c>
      <c r="D10" s="26">
        <v>121</v>
      </c>
      <c r="E10" s="27">
        <v>109</v>
      </c>
      <c r="F10" s="36">
        <v>0</v>
      </c>
      <c r="G10" s="29">
        <v>2</v>
      </c>
      <c r="H10" s="37"/>
      <c r="I10" s="31">
        <v>1</v>
      </c>
      <c r="J10" s="31">
        <v>1</v>
      </c>
      <c r="K10" s="32">
        <v>0</v>
      </c>
      <c r="L10" s="27">
        <v>10.3</v>
      </c>
      <c r="M10" s="38"/>
      <c r="N10" s="39"/>
      <c r="O10" s="61">
        <f t="shared" si="3"/>
        <v>14.00000000372529</v>
      </c>
      <c r="P10" s="64">
        <f t="shared" si="8"/>
        <v>0.6000000000349246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73">
        <f t="shared" si="2"/>
        <v>97.01906338932794</v>
      </c>
      <c r="U10" s="61">
        <f t="shared" si="9"/>
        <v>0</v>
      </c>
      <c r="V10" s="64">
        <f>V9+U10/1000</f>
        <v>0</v>
      </c>
      <c r="W10" s="64">
        <f t="shared" si="10"/>
        <v>0.01</v>
      </c>
      <c r="X10" s="71">
        <f t="shared" si="11"/>
        <v>4.5453127539920599E-3</v>
      </c>
      <c r="Y10" s="64">
        <f t="shared" si="12"/>
        <v>0.94674966173069297</v>
      </c>
      <c r="Z10" s="64">
        <f t="shared" si="13"/>
        <v>0.94674966173069297</v>
      </c>
      <c r="AB10" s="70">
        <f t="shared" si="6"/>
        <v>10.9</v>
      </c>
    </row>
    <row r="11" spans="1:28" s="40" customFormat="1" ht="20.25" customHeight="1">
      <c r="A11" s="35">
        <f t="shared" si="7"/>
        <v>6</v>
      </c>
      <c r="B11" s="24">
        <v>41425</v>
      </c>
      <c r="C11" s="25">
        <v>0.36388888888888887</v>
      </c>
      <c r="D11" s="26">
        <v>109</v>
      </c>
      <c r="E11" s="27">
        <v>100</v>
      </c>
      <c r="F11" s="36">
        <v>0</v>
      </c>
      <c r="G11" s="29">
        <v>1</v>
      </c>
      <c r="H11" s="37"/>
      <c r="I11" s="31">
        <v>1</v>
      </c>
      <c r="J11" s="31">
        <v>1</v>
      </c>
      <c r="K11" s="32">
        <v>0</v>
      </c>
      <c r="L11" s="27">
        <v>10.3</v>
      </c>
      <c r="M11" s="38"/>
      <c r="N11" s="39"/>
      <c r="O11" s="61">
        <f t="shared" si="3"/>
        <v>1.9999999960418791</v>
      </c>
      <c r="P11" s="64">
        <f t="shared" si="8"/>
        <v>0.63333333330228925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73">
        <f t="shared" si="2"/>
        <v>97.01906338932794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1.0999999999999999E-2</v>
      </c>
      <c r="X11" s="71">
        <f t="shared" si="11"/>
        <v>5.2493094678610396E-3</v>
      </c>
      <c r="Y11" s="64">
        <f t="shared" si="12"/>
        <v>0.97221696798450852</v>
      </c>
      <c r="Z11" s="64">
        <f t="shared" si="13"/>
        <v>0.97221696798450852</v>
      </c>
      <c r="AB11" s="70">
        <f t="shared" si="6"/>
        <v>10</v>
      </c>
    </row>
    <row r="12" spans="1:28" s="40" customFormat="1" ht="20.25" customHeight="1">
      <c r="A12" s="35">
        <f t="shared" si="7"/>
        <v>7</v>
      </c>
      <c r="B12" s="24">
        <v>41425</v>
      </c>
      <c r="C12" s="25">
        <v>0.36458333333333331</v>
      </c>
      <c r="D12" s="26">
        <v>100</v>
      </c>
      <c r="E12" s="27">
        <v>89</v>
      </c>
      <c r="F12" s="36">
        <v>0</v>
      </c>
      <c r="G12" s="29">
        <v>1</v>
      </c>
      <c r="H12" s="37"/>
      <c r="I12" s="31">
        <v>1</v>
      </c>
      <c r="J12" s="31">
        <v>1</v>
      </c>
      <c r="K12" s="32">
        <v>0</v>
      </c>
      <c r="L12" s="27">
        <v>10.3</v>
      </c>
      <c r="M12" s="38"/>
      <c r="N12" s="39"/>
      <c r="O12" s="61">
        <f t="shared" si="3"/>
        <v>1.000000003259629</v>
      </c>
      <c r="P12" s="64">
        <f t="shared" si="8"/>
        <v>0.65000000002328306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73">
        <f t="shared" si="2"/>
        <v>97.01906338932794</v>
      </c>
      <c r="U12" s="61">
        <f t="shared" si="9"/>
        <v>0</v>
      </c>
      <c r="V12" s="64">
        <f t="shared" si="14"/>
        <v>0</v>
      </c>
      <c r="W12" s="64">
        <f t="shared" si="10"/>
        <v>1.2E-2</v>
      </c>
      <c r="X12" s="71">
        <f t="shared" si="11"/>
        <v>6.2594763911127983E-3</v>
      </c>
      <c r="Y12" s="64">
        <f t="shared" si="12"/>
        <v>0.92471255819475673</v>
      </c>
      <c r="Z12" s="64">
        <f t="shared" si="13"/>
        <v>0.92471255819475673</v>
      </c>
      <c r="AB12" s="70">
        <f t="shared" si="6"/>
        <v>8.9</v>
      </c>
    </row>
    <row r="13" spans="1:28" s="40" customFormat="1" ht="20.25" customHeight="1">
      <c r="A13" s="35">
        <f t="shared" si="7"/>
        <v>8</v>
      </c>
      <c r="B13" s="24">
        <v>41425</v>
      </c>
      <c r="C13" s="25">
        <v>0.36527777777777781</v>
      </c>
      <c r="D13" s="26">
        <v>90</v>
      </c>
      <c r="E13" s="27">
        <v>73</v>
      </c>
      <c r="F13" s="36">
        <v>0</v>
      </c>
      <c r="G13" s="29">
        <v>1</v>
      </c>
      <c r="H13" s="37"/>
      <c r="I13" s="31">
        <v>1</v>
      </c>
      <c r="J13" s="31">
        <v>1</v>
      </c>
      <c r="K13" s="32">
        <v>0</v>
      </c>
      <c r="L13" s="27">
        <v>10.3</v>
      </c>
      <c r="M13" s="38"/>
      <c r="N13" s="39"/>
      <c r="O13" s="61">
        <f t="shared" si="3"/>
        <v>0.99999999278225005</v>
      </c>
      <c r="P13" s="64">
        <f t="shared" si="8"/>
        <v>0.6666666665696539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73">
        <f t="shared" si="2"/>
        <v>97.01906338932794</v>
      </c>
      <c r="U13" s="61">
        <f t="shared" si="9"/>
        <v>0</v>
      </c>
      <c r="V13" s="64">
        <f t="shared" si="14"/>
        <v>0</v>
      </c>
      <c r="W13" s="64">
        <f t="shared" si="10"/>
        <v>1.3000000000000001E-2</v>
      </c>
      <c r="X13" s="71">
        <f t="shared" si="11"/>
        <v>8.0856957036941311E-3</v>
      </c>
      <c r="Y13" s="64">
        <f t="shared" si="12"/>
        <v>0.77304542262824727</v>
      </c>
      <c r="Z13" s="64">
        <f t="shared" si="13"/>
        <v>0.77304542262824727</v>
      </c>
      <c r="AB13" s="70">
        <f t="shared" si="6"/>
        <v>7.3</v>
      </c>
    </row>
    <row r="14" spans="1:28" s="40" customFormat="1" ht="20.25" customHeight="1">
      <c r="A14" s="35">
        <f t="shared" si="7"/>
        <v>9</v>
      </c>
      <c r="B14" s="24">
        <v>41425</v>
      </c>
      <c r="C14" s="25">
        <v>0.38263888888888892</v>
      </c>
      <c r="D14" s="26">
        <v>73</v>
      </c>
      <c r="E14" s="27">
        <v>64</v>
      </c>
      <c r="F14" s="36">
        <v>0</v>
      </c>
      <c r="G14" s="29">
        <v>1</v>
      </c>
      <c r="H14" s="37"/>
      <c r="I14" s="31">
        <v>1</v>
      </c>
      <c r="J14" s="31">
        <v>1</v>
      </c>
      <c r="K14" s="32">
        <v>0</v>
      </c>
      <c r="L14" s="27">
        <v>10.3</v>
      </c>
      <c r="M14" s="38"/>
      <c r="N14" s="39"/>
      <c r="O14" s="61">
        <f t="shared" si="3"/>
        <v>25.000000008149073</v>
      </c>
      <c r="P14" s="64">
        <f t="shared" si="8"/>
        <v>1.0833333333721384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73">
        <f t="shared" si="2"/>
        <v>97.01906338932794</v>
      </c>
      <c r="U14" s="61">
        <f t="shared" si="9"/>
        <v>0</v>
      </c>
      <c r="V14" s="64">
        <f t="shared" si="14"/>
        <v>0</v>
      </c>
      <c r="W14" s="64">
        <f t="shared" si="10"/>
        <v>1.4000000000000002E-2</v>
      </c>
      <c r="X14" s="71">
        <f t="shared" si="11"/>
        <v>9.3380414745645179E-3</v>
      </c>
      <c r="Y14" s="64">
        <f t="shared" si="12"/>
        <v>0.77467007875686533</v>
      </c>
      <c r="Z14" s="64">
        <f t="shared" si="13"/>
        <v>0.77467007875686533</v>
      </c>
      <c r="AB14" s="70">
        <f t="shared" si="6"/>
        <v>6.4</v>
      </c>
    </row>
    <row r="15" spans="1:28" s="40" customFormat="1" ht="20.25" customHeight="1">
      <c r="A15" s="35">
        <f t="shared" si="7"/>
        <v>10</v>
      </c>
      <c r="B15" s="24">
        <v>41425</v>
      </c>
      <c r="C15" s="25">
        <v>0.39930555555555558</v>
      </c>
      <c r="D15" s="26">
        <v>64</v>
      </c>
      <c r="E15" s="27">
        <v>54</v>
      </c>
      <c r="F15" s="36">
        <v>0</v>
      </c>
      <c r="G15" s="29">
        <v>1</v>
      </c>
      <c r="H15" s="37"/>
      <c r="I15" s="31">
        <v>1</v>
      </c>
      <c r="J15" s="31">
        <v>1</v>
      </c>
      <c r="K15" s="32">
        <v>0</v>
      </c>
      <c r="L15" s="27">
        <v>10.3</v>
      </c>
      <c r="M15" s="38"/>
      <c r="N15" s="39"/>
      <c r="O15" s="61">
        <f t="shared" si="3"/>
        <v>23.999999994412065</v>
      </c>
      <c r="P15" s="64">
        <f t="shared" si="8"/>
        <v>1.4833333332790062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73">
        <f t="shared" si="2"/>
        <v>97.01906338932794</v>
      </c>
      <c r="U15" s="61">
        <f t="shared" si="9"/>
        <v>0</v>
      </c>
      <c r="V15" s="64">
        <f t="shared" si="14"/>
        <v>0</v>
      </c>
      <c r="W15" s="64">
        <f t="shared" si="10"/>
        <v>1.5000000000000003E-2</v>
      </c>
      <c r="X15" s="71">
        <f t="shared" si="11"/>
        <v>1.0958293184173858E-2</v>
      </c>
      <c r="Y15" s="64">
        <f t="shared" si="12"/>
        <v>0.68799262522035787</v>
      </c>
      <c r="Z15" s="64">
        <f t="shared" si="13"/>
        <v>0.68799262522035787</v>
      </c>
      <c r="AB15" s="70">
        <f t="shared" si="6"/>
        <v>5.4</v>
      </c>
    </row>
    <row r="16" spans="1:28" s="40" customFormat="1" ht="20.25" customHeight="1">
      <c r="A16" s="35">
        <f t="shared" si="7"/>
        <v>11</v>
      </c>
      <c r="B16" s="24">
        <v>41425</v>
      </c>
      <c r="C16" s="25">
        <v>0.4291666666666667</v>
      </c>
      <c r="D16" s="26">
        <v>59</v>
      </c>
      <c r="E16" s="27">
        <v>50</v>
      </c>
      <c r="F16" s="36">
        <v>0</v>
      </c>
      <c r="G16" s="29">
        <v>2</v>
      </c>
      <c r="H16" s="37"/>
      <c r="I16" s="31">
        <v>1</v>
      </c>
      <c r="J16" s="31">
        <v>1</v>
      </c>
      <c r="K16" s="32">
        <v>0</v>
      </c>
      <c r="L16" s="27">
        <v>10.3</v>
      </c>
      <c r="M16" s="38"/>
      <c r="N16" s="39"/>
      <c r="O16" s="61">
        <f t="shared" si="3"/>
        <v>43.000000003958121</v>
      </c>
      <c r="P16" s="64">
        <f t="shared" si="8"/>
        <v>2.2000000000116415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73">
        <f t="shared" si="2"/>
        <v>97.01906338932794</v>
      </c>
      <c r="U16" s="61">
        <f t="shared" si="9"/>
        <v>0</v>
      </c>
      <c r="V16" s="64">
        <f t="shared" si="14"/>
        <v>0</v>
      </c>
      <c r="W16" s="64">
        <f t="shared" si="10"/>
        <v>1.7000000000000001E-2</v>
      </c>
      <c r="X16" s="71">
        <f t="shared" si="11"/>
        <v>1.168255306704776E-2</v>
      </c>
      <c r="Y16" s="64">
        <f t="shared" si="12"/>
        <v>0.77603993914788016</v>
      </c>
      <c r="Z16" s="64">
        <f t="shared" si="13"/>
        <v>0.77603993914788016</v>
      </c>
      <c r="AB16" s="70">
        <f t="shared" si="6"/>
        <v>5</v>
      </c>
    </row>
    <row r="17" spans="1:28" s="40" customFormat="1" ht="20.25" customHeight="1">
      <c r="A17" s="35">
        <f t="shared" si="7"/>
        <v>12</v>
      </c>
      <c r="B17" s="24">
        <v>41425</v>
      </c>
      <c r="C17" s="25">
        <v>0.44791666666666669</v>
      </c>
      <c r="D17" s="26">
        <v>58</v>
      </c>
      <c r="E17" s="27">
        <v>48</v>
      </c>
      <c r="F17" s="36">
        <v>0</v>
      </c>
      <c r="G17" s="29">
        <v>1</v>
      </c>
      <c r="H17" s="37"/>
      <c r="I17" s="31">
        <v>1</v>
      </c>
      <c r="J17" s="31">
        <v>1</v>
      </c>
      <c r="K17" s="32">
        <v>0</v>
      </c>
      <c r="L17" s="27">
        <v>10.3</v>
      </c>
      <c r="M17" s="38"/>
      <c r="N17" s="39"/>
      <c r="O17" s="61">
        <f t="shared" si="3"/>
        <v>26.999999993713573</v>
      </c>
      <c r="P17" s="64">
        <f t="shared" si="8"/>
        <v>2.6499999999068677</v>
      </c>
      <c r="Q17" s="61">
        <f t="shared" si="0"/>
        <v>0</v>
      </c>
      <c r="R17" s="62">
        <f t="shared" si="1"/>
        <v>4122</v>
      </c>
      <c r="S17" s="63">
        <f t="shared" si="4"/>
        <v>0</v>
      </c>
      <c r="T17" s="73">
        <f t="shared" si="2"/>
        <v>97.01906338932794</v>
      </c>
      <c r="U17" s="61">
        <f t="shared" si="9"/>
        <v>0</v>
      </c>
      <c r="V17" s="64">
        <f t="shared" si="14"/>
        <v>0</v>
      </c>
      <c r="W17" s="64">
        <f t="shared" si="10"/>
        <v>1.8000000000000002E-2</v>
      </c>
      <c r="X17" s="71">
        <f t="shared" si="11"/>
        <v>1.2062440548382814E-2</v>
      </c>
      <c r="Y17" s="64">
        <f t="shared" si="12"/>
        <v>0.80719396761466056</v>
      </c>
      <c r="Z17" s="64">
        <f t="shared" si="13"/>
        <v>0.80719396761466056</v>
      </c>
      <c r="AB17" s="70">
        <f t="shared" si="6"/>
        <v>4.8</v>
      </c>
    </row>
    <row r="18" spans="1:28" s="40" customFormat="1" ht="20.25" customHeight="1">
      <c r="A18" s="35">
        <f t="shared" si="7"/>
        <v>13</v>
      </c>
      <c r="B18" s="24">
        <v>41425</v>
      </c>
      <c r="C18" s="25">
        <v>0.46666666666666662</v>
      </c>
      <c r="D18" s="26">
        <v>56</v>
      </c>
      <c r="E18" s="27">
        <v>46</v>
      </c>
      <c r="F18" s="36">
        <v>0</v>
      </c>
      <c r="G18" s="29">
        <v>4</v>
      </c>
      <c r="H18" s="37"/>
      <c r="I18" s="31">
        <v>1</v>
      </c>
      <c r="J18" s="31">
        <v>1</v>
      </c>
      <c r="K18" s="32">
        <v>0</v>
      </c>
      <c r="L18" s="27">
        <v>10.3</v>
      </c>
      <c r="M18" s="38"/>
      <c r="N18" s="39"/>
      <c r="O18" s="61">
        <f t="shared" si="3"/>
        <v>27.000000004190952</v>
      </c>
      <c r="P18" s="64">
        <f t="shared" si="8"/>
        <v>3.0999999999767169</v>
      </c>
      <c r="Q18" s="61">
        <f t="shared" si="0"/>
        <v>0</v>
      </c>
      <c r="R18" s="62">
        <f t="shared" si="1"/>
        <v>4122</v>
      </c>
      <c r="S18" s="63">
        <f t="shared" si="4"/>
        <v>0</v>
      </c>
      <c r="T18" s="73">
        <f t="shared" si="2"/>
        <v>97.01906338932794</v>
      </c>
      <c r="U18" s="61">
        <f t="shared" si="9"/>
        <v>0</v>
      </c>
      <c r="V18" s="64">
        <f t="shared" si="14"/>
        <v>0</v>
      </c>
      <c r="W18" s="64">
        <f t="shared" si="10"/>
        <v>2.2000000000000002E-2</v>
      </c>
      <c r="X18" s="71">
        <f t="shared" si="11"/>
        <v>1.2454681022907529E-2</v>
      </c>
      <c r="Y18" s="64">
        <f t="shared" si="12"/>
        <v>0.94946890463989608</v>
      </c>
      <c r="Z18" s="64">
        <f t="shared" si="13"/>
        <v>0.94946890463989608</v>
      </c>
      <c r="AB18" s="70">
        <f t="shared" si="6"/>
        <v>4.5999999999999996</v>
      </c>
    </row>
    <row r="19" spans="1:28" s="40" customFormat="1" ht="20.25" customHeight="1">
      <c r="A19" s="35">
        <f t="shared" si="7"/>
        <v>14</v>
      </c>
      <c r="B19" s="24">
        <v>41425</v>
      </c>
      <c r="C19" s="25">
        <v>0.48541666666666666</v>
      </c>
      <c r="D19" s="26">
        <v>55</v>
      </c>
      <c r="E19" s="27">
        <v>45</v>
      </c>
      <c r="F19" s="36">
        <v>0</v>
      </c>
      <c r="G19" s="29">
        <v>4</v>
      </c>
      <c r="H19" s="37"/>
      <c r="I19" s="31">
        <v>1</v>
      </c>
      <c r="J19" s="31">
        <v>1</v>
      </c>
      <c r="K19" s="32">
        <v>0</v>
      </c>
      <c r="L19" s="27">
        <v>10.3</v>
      </c>
      <c r="M19" s="38"/>
      <c r="N19" s="39"/>
      <c r="O19" s="61">
        <f t="shared" si="3"/>
        <v>27.000000004190952</v>
      </c>
      <c r="P19" s="64">
        <f t="shared" si="8"/>
        <v>3.5500000000465661</v>
      </c>
      <c r="Q19" s="61">
        <f t="shared" si="0"/>
        <v>0</v>
      </c>
      <c r="R19" s="62">
        <f t="shared" si="1"/>
        <v>4122</v>
      </c>
      <c r="S19" s="63">
        <f t="shared" si="4"/>
        <v>0</v>
      </c>
      <c r="T19" s="73">
        <f t="shared" si="2"/>
        <v>97.01906338932794</v>
      </c>
      <c r="U19" s="61">
        <f t="shared" si="9"/>
        <v>0</v>
      </c>
      <c r="V19" s="64">
        <f t="shared" si="14"/>
        <v>0</v>
      </c>
      <c r="W19" s="64">
        <f t="shared" si="10"/>
        <v>2.6000000000000002E-2</v>
      </c>
      <c r="X19" s="71">
        <f t="shared" si="11"/>
        <v>1.2655558654959263E-2</v>
      </c>
      <c r="Y19" s="64">
        <f t="shared" si="12"/>
        <v>1.1095219905750089</v>
      </c>
      <c r="Z19" s="64">
        <f t="shared" si="13"/>
        <v>1.1095219905750089</v>
      </c>
      <c r="AB19" s="70">
        <f t="shared" si="6"/>
        <v>4.5</v>
      </c>
    </row>
    <row r="20" spans="1:28" s="40" customFormat="1" ht="20.25" customHeight="1">
      <c r="A20" s="35">
        <f t="shared" si="7"/>
        <v>15</v>
      </c>
      <c r="B20" s="24">
        <v>41425</v>
      </c>
      <c r="C20" s="25">
        <v>0.50486111111111109</v>
      </c>
      <c r="D20" s="26">
        <v>54</v>
      </c>
      <c r="E20" s="27">
        <v>45</v>
      </c>
      <c r="F20" s="36">
        <v>0</v>
      </c>
      <c r="G20" s="29">
        <v>4</v>
      </c>
      <c r="H20" s="37"/>
      <c r="I20" s="31">
        <v>1</v>
      </c>
      <c r="J20" s="31">
        <v>1</v>
      </c>
      <c r="K20" s="32">
        <v>0</v>
      </c>
      <c r="L20" s="27">
        <v>10.3</v>
      </c>
      <c r="M20" s="38"/>
      <c r="N20" s="39"/>
      <c r="O20" s="61">
        <f t="shared" si="3"/>
        <v>27.999999996973202</v>
      </c>
      <c r="P20" s="64">
        <f t="shared" si="8"/>
        <v>4.0166666666627862</v>
      </c>
      <c r="Q20" s="61">
        <f t="shared" si="0"/>
        <v>0</v>
      </c>
      <c r="R20" s="62">
        <f t="shared" si="1"/>
        <v>4122</v>
      </c>
      <c r="S20" s="63">
        <f t="shared" si="4"/>
        <v>0</v>
      </c>
      <c r="T20" s="73">
        <f t="shared" si="2"/>
        <v>97.01906338932794</v>
      </c>
      <c r="U20" s="61">
        <f t="shared" si="9"/>
        <v>0</v>
      </c>
      <c r="V20" s="64">
        <f t="shared" si="14"/>
        <v>0</v>
      </c>
      <c r="W20" s="64">
        <f t="shared" si="10"/>
        <v>3.0000000000000002E-2</v>
      </c>
      <c r="X20" s="71">
        <f t="shared" si="11"/>
        <v>1.2655558654959263E-2</v>
      </c>
      <c r="Y20" s="64">
        <f t="shared" si="12"/>
        <v>1.2901857374265941</v>
      </c>
      <c r="Z20" s="64">
        <f t="shared" si="13"/>
        <v>1.2901857374265941</v>
      </c>
      <c r="AB20" s="70">
        <f t="shared" si="6"/>
        <v>4.5</v>
      </c>
    </row>
    <row r="21" spans="1:28" s="40" customFormat="1" ht="20.25" customHeight="1">
      <c r="A21" s="35">
        <f t="shared" si="7"/>
        <v>16</v>
      </c>
      <c r="B21" s="24">
        <v>41425</v>
      </c>
      <c r="C21" s="25">
        <v>0.52152777777777781</v>
      </c>
      <c r="D21" s="26">
        <v>52</v>
      </c>
      <c r="E21" s="27">
        <v>44</v>
      </c>
      <c r="F21" s="36">
        <v>0</v>
      </c>
      <c r="G21" s="29">
        <v>15</v>
      </c>
      <c r="H21" s="37"/>
      <c r="I21" s="31">
        <v>1</v>
      </c>
      <c r="J21" s="31">
        <v>1</v>
      </c>
      <c r="K21" s="32">
        <v>0</v>
      </c>
      <c r="L21" s="27">
        <v>10.3</v>
      </c>
      <c r="M21" s="38"/>
      <c r="N21" s="39"/>
      <c r="O21" s="61">
        <f t="shared" ref="O21:O28" si="15">((B21 +C21) - (B20 + C20)) * 24 * 60</f>
        <v>23.999999994412065</v>
      </c>
      <c r="P21" s="64">
        <f t="shared" ref="P21:P28" si="16">P20+O21/60</f>
        <v>4.4166666665696539</v>
      </c>
      <c r="Q21" s="61">
        <f t="shared" ref="Q21:Q28" si="17">F21*$F$2/1000*273/(273+L21)</f>
        <v>0</v>
      </c>
      <c r="R21" s="62">
        <f t="shared" ref="R21:R28" si="18">$N$2-K21</f>
        <v>4122</v>
      </c>
      <c r="S21" s="63">
        <f t="shared" ref="S21:S28" si="19">IF(I21=J21,0,R21*(J21-I21))*273/(273+L21)</f>
        <v>0</v>
      </c>
      <c r="T21" s="73">
        <f t="shared" si="2"/>
        <v>97.01906338932794</v>
      </c>
      <c r="U21" s="61">
        <f t="shared" ref="U21:U28" si="20">(S21+Q21)*T21/100</f>
        <v>0</v>
      </c>
      <c r="V21" s="64">
        <f t="shared" ref="V21:V28" si="21">V20+U21/1000</f>
        <v>0</v>
      </c>
      <c r="W21" s="64">
        <f t="shared" ref="W21:W28" si="22">W20+(G21+K21)/1000</f>
        <v>4.4999999999999998E-2</v>
      </c>
      <c r="X21" s="71">
        <f t="shared" si="11"/>
        <v>1.2859676179143482E-2</v>
      </c>
      <c r="Y21" s="64">
        <f t="shared" si="12"/>
        <v>1.8846198477957201</v>
      </c>
      <c r="Z21" s="64">
        <f t="shared" ref="Z21:Z28" si="23">V21+Y21</f>
        <v>1.8846198477957201</v>
      </c>
      <c r="AB21" s="70">
        <f t="shared" si="6"/>
        <v>4.4000000000000004</v>
      </c>
    </row>
    <row r="22" spans="1:28" ht="20.25" customHeight="1">
      <c r="A22" s="35">
        <f t="shared" si="7"/>
        <v>17</v>
      </c>
      <c r="B22" s="24">
        <v>41425</v>
      </c>
      <c r="C22" s="25">
        <v>0.53749999999999998</v>
      </c>
      <c r="D22" s="26">
        <v>51</v>
      </c>
      <c r="E22" s="27">
        <v>45</v>
      </c>
      <c r="F22" s="36">
        <v>0</v>
      </c>
      <c r="G22" s="29">
        <v>4</v>
      </c>
      <c r="H22" s="37"/>
      <c r="I22" s="31">
        <v>1</v>
      </c>
      <c r="J22" s="31">
        <v>1</v>
      </c>
      <c r="K22" s="32">
        <v>0</v>
      </c>
      <c r="L22" s="27">
        <v>10.3</v>
      </c>
      <c r="M22" s="38"/>
      <c r="N22" s="39"/>
      <c r="O22" s="61">
        <f t="shared" si="15"/>
        <v>23.000000001629815</v>
      </c>
      <c r="P22" s="64">
        <f t="shared" si="16"/>
        <v>4.7999999999301508</v>
      </c>
      <c r="Q22" s="61">
        <f t="shared" si="17"/>
        <v>0</v>
      </c>
      <c r="R22" s="62">
        <f t="shared" si="18"/>
        <v>4122</v>
      </c>
      <c r="S22" s="63">
        <f t="shared" si="19"/>
        <v>0</v>
      </c>
      <c r="T22" s="73">
        <f t="shared" si="2"/>
        <v>97.01906338932794</v>
      </c>
      <c r="U22" s="61">
        <f t="shared" si="20"/>
        <v>0</v>
      </c>
      <c r="V22" s="64">
        <f t="shared" si="21"/>
        <v>0</v>
      </c>
      <c r="W22" s="64">
        <f t="shared" si="22"/>
        <v>4.9000000000000002E-2</v>
      </c>
      <c r="X22" s="71">
        <f t="shared" si="11"/>
        <v>1.2655558654959263E-2</v>
      </c>
      <c r="Y22" s="64">
        <f t="shared" si="12"/>
        <v>2.1160816884121476</v>
      </c>
      <c r="Z22" s="64">
        <f t="shared" si="23"/>
        <v>2.1160816884121476</v>
      </c>
      <c r="AB22" s="70">
        <f t="shared" si="6"/>
        <v>4.5</v>
      </c>
    </row>
    <row r="23" spans="1:28" ht="20.25" customHeight="1">
      <c r="A23" s="35">
        <f t="shared" si="7"/>
        <v>18</v>
      </c>
      <c r="B23" s="24">
        <v>41425</v>
      </c>
      <c r="C23" s="25">
        <v>0.55069444444444449</v>
      </c>
      <c r="D23" s="26">
        <v>51</v>
      </c>
      <c r="E23" s="27">
        <v>45</v>
      </c>
      <c r="F23" s="36">
        <v>0</v>
      </c>
      <c r="G23" s="29">
        <v>10</v>
      </c>
      <c r="H23" s="37"/>
      <c r="I23" s="31">
        <v>1</v>
      </c>
      <c r="J23" s="31">
        <v>1</v>
      </c>
      <c r="K23" s="32">
        <v>0</v>
      </c>
      <c r="L23" s="27">
        <v>10.3</v>
      </c>
      <c r="M23" s="38"/>
      <c r="N23" s="39"/>
      <c r="O23" s="61">
        <f t="shared" si="15"/>
        <v>18.999999999068677</v>
      </c>
      <c r="P23" s="64">
        <f t="shared" si="16"/>
        <v>5.1166666665812954</v>
      </c>
      <c r="Q23" s="61">
        <f t="shared" si="17"/>
        <v>0</v>
      </c>
      <c r="R23" s="62">
        <f t="shared" si="18"/>
        <v>4122</v>
      </c>
      <c r="S23" s="63">
        <f t="shared" si="19"/>
        <v>0</v>
      </c>
      <c r="T23" s="73">
        <f t="shared" si="2"/>
        <v>97.01906338932794</v>
      </c>
      <c r="U23" s="61">
        <f t="shared" si="20"/>
        <v>0</v>
      </c>
      <c r="V23" s="64">
        <f t="shared" si="21"/>
        <v>0</v>
      </c>
      <c r="W23" s="64">
        <f t="shared" si="22"/>
        <v>5.9000000000000004E-2</v>
      </c>
      <c r="X23" s="71">
        <f t="shared" si="11"/>
        <v>1.2655558654959263E-2</v>
      </c>
      <c r="Y23" s="64">
        <f t="shared" si="12"/>
        <v>2.5373652836056353</v>
      </c>
      <c r="Z23" s="64">
        <f t="shared" si="23"/>
        <v>2.5373652836056353</v>
      </c>
      <c r="AB23" s="70">
        <f t="shared" si="6"/>
        <v>4.5</v>
      </c>
    </row>
    <row r="24" spans="1:28" ht="20.25" customHeight="1">
      <c r="A24" s="35">
        <f t="shared" si="7"/>
        <v>19</v>
      </c>
      <c r="B24" s="24">
        <v>41425</v>
      </c>
      <c r="C24" s="25">
        <v>0.56527777777777777</v>
      </c>
      <c r="D24" s="26">
        <v>50</v>
      </c>
      <c r="E24" s="27">
        <v>45</v>
      </c>
      <c r="F24" s="36">
        <v>0</v>
      </c>
      <c r="G24" s="29">
        <v>4</v>
      </c>
      <c r="H24" s="37"/>
      <c r="I24" s="31">
        <v>1</v>
      </c>
      <c r="J24" s="31">
        <v>1</v>
      </c>
      <c r="K24" s="32">
        <v>0</v>
      </c>
      <c r="L24" s="27">
        <v>10.3</v>
      </c>
      <c r="M24" s="38"/>
      <c r="N24" s="39"/>
      <c r="O24" s="61">
        <f t="shared" si="15"/>
        <v>21.000000005587935</v>
      </c>
      <c r="P24" s="64">
        <f t="shared" si="16"/>
        <v>5.4666666666744277</v>
      </c>
      <c r="Q24" s="61">
        <f t="shared" si="17"/>
        <v>0</v>
      </c>
      <c r="R24" s="62">
        <f t="shared" si="18"/>
        <v>4122</v>
      </c>
      <c r="S24" s="63">
        <f t="shared" si="19"/>
        <v>0</v>
      </c>
      <c r="T24" s="73">
        <f t="shared" si="2"/>
        <v>97.01906338932794</v>
      </c>
      <c r="U24" s="61">
        <f t="shared" si="20"/>
        <v>0</v>
      </c>
      <c r="V24" s="64">
        <f t="shared" si="21"/>
        <v>0</v>
      </c>
      <c r="W24" s="64">
        <f t="shared" si="22"/>
        <v>6.3E-2</v>
      </c>
      <c r="X24" s="71">
        <f t="shared" si="11"/>
        <v>1.2655558654959263E-2</v>
      </c>
      <c r="Y24" s="64">
        <f t="shared" si="12"/>
        <v>2.7093900485958473</v>
      </c>
      <c r="Z24" s="64">
        <f t="shared" si="23"/>
        <v>2.7093900485958473</v>
      </c>
      <c r="AB24" s="70">
        <f t="shared" si="6"/>
        <v>4.5</v>
      </c>
    </row>
    <row r="25" spans="1:28" ht="20.25" customHeight="1">
      <c r="A25" s="35">
        <f t="shared" si="7"/>
        <v>20</v>
      </c>
      <c r="B25" s="24">
        <v>41425</v>
      </c>
      <c r="C25" s="25">
        <v>0.58194444444444449</v>
      </c>
      <c r="D25" s="26">
        <v>50</v>
      </c>
      <c r="E25" s="27">
        <v>45</v>
      </c>
      <c r="F25" s="36">
        <v>0</v>
      </c>
      <c r="G25" s="29">
        <v>11</v>
      </c>
      <c r="H25" s="37"/>
      <c r="I25" s="31">
        <v>1</v>
      </c>
      <c r="J25" s="31">
        <v>1</v>
      </c>
      <c r="K25" s="32">
        <v>0</v>
      </c>
      <c r="L25" s="27">
        <v>10.3</v>
      </c>
      <c r="M25" s="38"/>
      <c r="N25" s="39"/>
      <c r="O25" s="61">
        <f t="shared" si="15"/>
        <v>23.999999994412065</v>
      </c>
      <c r="P25" s="64">
        <f t="shared" si="16"/>
        <v>5.8666666665812954</v>
      </c>
      <c r="Q25" s="61">
        <f t="shared" si="17"/>
        <v>0</v>
      </c>
      <c r="R25" s="62">
        <f t="shared" si="18"/>
        <v>4122</v>
      </c>
      <c r="S25" s="63">
        <f t="shared" si="19"/>
        <v>0</v>
      </c>
      <c r="T25" s="73">
        <f t="shared" si="2"/>
        <v>97.01906338932794</v>
      </c>
      <c r="U25" s="61">
        <f t="shared" si="20"/>
        <v>0</v>
      </c>
      <c r="V25" s="64">
        <f t="shared" si="21"/>
        <v>0</v>
      </c>
      <c r="W25" s="64">
        <f t="shared" si="22"/>
        <v>7.3999999999999996E-2</v>
      </c>
      <c r="X25" s="71">
        <f t="shared" si="11"/>
        <v>1.2655558654959263E-2</v>
      </c>
      <c r="Y25" s="64">
        <f t="shared" si="12"/>
        <v>3.1824581523189317</v>
      </c>
      <c r="Z25" s="64">
        <f t="shared" si="23"/>
        <v>3.1824581523189317</v>
      </c>
      <c r="AB25" s="70">
        <f t="shared" si="6"/>
        <v>4.5</v>
      </c>
    </row>
    <row r="26" spans="1:28" ht="20.25" customHeight="1">
      <c r="A26" s="35">
        <f t="shared" si="7"/>
        <v>21</v>
      </c>
      <c r="B26" s="24">
        <v>41425</v>
      </c>
      <c r="C26" s="25">
        <v>0.59513888888888888</v>
      </c>
      <c r="D26" s="26">
        <v>49</v>
      </c>
      <c r="E26" s="27">
        <v>43</v>
      </c>
      <c r="F26" s="36">
        <v>0</v>
      </c>
      <c r="G26" s="29">
        <v>13</v>
      </c>
      <c r="H26" s="37"/>
      <c r="I26" s="31">
        <v>1</v>
      </c>
      <c r="J26" s="31">
        <v>1</v>
      </c>
      <c r="K26" s="32">
        <v>0</v>
      </c>
      <c r="L26" s="27">
        <v>10.3</v>
      </c>
      <c r="M26" s="38"/>
      <c r="N26" s="39"/>
      <c r="O26" s="61">
        <f t="shared" si="15"/>
        <v>18.999999999068677</v>
      </c>
      <c r="P26" s="64">
        <f t="shared" si="16"/>
        <v>6.1833333332324401</v>
      </c>
      <c r="Q26" s="61">
        <f t="shared" si="17"/>
        <v>0</v>
      </c>
      <c r="R26" s="62">
        <f t="shared" si="18"/>
        <v>4122</v>
      </c>
      <c r="S26" s="63">
        <f t="shared" si="19"/>
        <v>0</v>
      </c>
      <c r="T26" s="73">
        <f>T27</f>
        <v>97.01906338932794</v>
      </c>
      <c r="U26" s="61">
        <f t="shared" si="20"/>
        <v>0</v>
      </c>
      <c r="V26" s="64">
        <f t="shared" si="21"/>
        <v>0</v>
      </c>
      <c r="W26" s="64">
        <f t="shared" si="22"/>
        <v>8.6999999999999994E-2</v>
      </c>
      <c r="X26" s="71">
        <f t="shared" si="11"/>
        <v>1.3067085850661136E-2</v>
      </c>
      <c r="Y26" s="64">
        <f t="shared" si="12"/>
        <v>3.5619343159832333</v>
      </c>
      <c r="Z26" s="64">
        <f t="shared" si="23"/>
        <v>3.5619343159832333</v>
      </c>
      <c r="AB26" s="70">
        <f t="shared" si="6"/>
        <v>4.3</v>
      </c>
    </row>
    <row r="27" spans="1:28" ht="20.25" customHeight="1">
      <c r="A27" s="35">
        <f t="shared" si="7"/>
        <v>22</v>
      </c>
      <c r="B27" s="24">
        <v>41425</v>
      </c>
      <c r="C27" s="25">
        <v>0.60763888888888895</v>
      </c>
      <c r="D27" s="26">
        <v>48</v>
      </c>
      <c r="E27" s="27">
        <v>35</v>
      </c>
      <c r="F27" s="36">
        <v>440</v>
      </c>
      <c r="G27" s="29">
        <v>42</v>
      </c>
      <c r="H27" s="37"/>
      <c r="I27" s="31">
        <v>1</v>
      </c>
      <c r="J27" s="31">
        <v>1</v>
      </c>
      <c r="K27" s="32">
        <v>0</v>
      </c>
      <c r="L27" s="27">
        <v>10.3</v>
      </c>
      <c r="M27" s="38" t="s">
        <v>56</v>
      </c>
      <c r="N27" s="39" t="s">
        <v>52</v>
      </c>
      <c r="O27" s="61">
        <f t="shared" si="15"/>
        <v>18.000000006286427</v>
      </c>
      <c r="P27" s="64">
        <f t="shared" si="16"/>
        <v>6.4833333333372138</v>
      </c>
      <c r="Q27" s="61">
        <f t="shared" si="17"/>
        <v>428.66685492410869</v>
      </c>
      <c r="R27" s="62">
        <f t="shared" si="18"/>
        <v>4122</v>
      </c>
      <c r="S27" s="63">
        <f t="shared" si="19"/>
        <v>0</v>
      </c>
      <c r="T27" s="73">
        <v>97.01906338932794</v>
      </c>
      <c r="U27" s="61">
        <f t="shared" si="20"/>
        <v>415.88856770785947</v>
      </c>
      <c r="V27" s="64">
        <f t="shared" si="21"/>
        <v>0.41588856770785948</v>
      </c>
      <c r="W27" s="64">
        <f t="shared" si="22"/>
        <v>0.129</v>
      </c>
      <c r="X27" s="71">
        <f t="shared" si="11"/>
        <v>1.4851435660069186E-2</v>
      </c>
      <c r="Y27" s="64">
        <f t="shared" si="12"/>
        <v>4.2816995857396307</v>
      </c>
      <c r="Z27" s="64">
        <f t="shared" si="23"/>
        <v>4.6975881534474899</v>
      </c>
      <c r="AB27" s="70">
        <f t="shared" si="6"/>
        <v>3.5</v>
      </c>
    </row>
    <row r="28" spans="1:28" ht="20.25" customHeight="1">
      <c r="A28" s="35">
        <f t="shared" si="7"/>
        <v>23</v>
      </c>
      <c r="B28" s="24">
        <v>41425</v>
      </c>
      <c r="C28" s="25">
        <v>0.63055555555555554</v>
      </c>
      <c r="D28" s="26">
        <v>45</v>
      </c>
      <c r="E28" s="27">
        <v>31</v>
      </c>
      <c r="F28" s="36">
        <v>840</v>
      </c>
      <c r="G28" s="29">
        <v>30</v>
      </c>
      <c r="H28" s="37"/>
      <c r="I28" s="31">
        <v>1</v>
      </c>
      <c r="J28" s="31">
        <v>1</v>
      </c>
      <c r="K28" s="32">
        <v>0</v>
      </c>
      <c r="L28" s="27">
        <v>10.3</v>
      </c>
      <c r="M28" s="38" t="s">
        <v>57</v>
      </c>
      <c r="N28" s="39"/>
      <c r="O28" s="61">
        <f t="shared" si="15"/>
        <v>33.000000002793968</v>
      </c>
      <c r="P28" s="64">
        <f t="shared" si="16"/>
        <v>7.03333333338378</v>
      </c>
      <c r="Q28" s="61">
        <f t="shared" si="17"/>
        <v>818.36399576420752</v>
      </c>
      <c r="R28" s="62">
        <f t="shared" si="18"/>
        <v>4122</v>
      </c>
      <c r="S28" s="63">
        <f t="shared" si="19"/>
        <v>0</v>
      </c>
      <c r="T28" s="73">
        <v>97.525477408380794</v>
      </c>
      <c r="U28" s="61">
        <f t="shared" si="20"/>
        <v>798.11339380734455</v>
      </c>
      <c r="V28" s="64">
        <f t="shared" si="21"/>
        <v>1.214001961515204</v>
      </c>
      <c r="W28" s="64">
        <f t="shared" si="22"/>
        <v>0.159</v>
      </c>
      <c r="X28" s="71">
        <f t="shared" si="11"/>
        <v>1.5833002667895318E-2</v>
      </c>
      <c r="Y28" s="64">
        <f t="shared" si="12"/>
        <v>4.7521691051576411</v>
      </c>
      <c r="Z28" s="64">
        <f t="shared" si="23"/>
        <v>5.9661710666728451</v>
      </c>
      <c r="AB28" s="70">
        <f t="shared" si="6"/>
        <v>3.1</v>
      </c>
    </row>
    <row r="29" spans="1:28" ht="20.25" customHeight="1">
      <c r="A29" s="35">
        <f t="shared" si="7"/>
        <v>24</v>
      </c>
      <c r="B29" s="24">
        <v>41425</v>
      </c>
      <c r="C29" s="25">
        <v>0.65486111111111112</v>
      </c>
      <c r="D29" s="26">
        <v>40</v>
      </c>
      <c r="E29" s="27">
        <v>29</v>
      </c>
      <c r="F29" s="36">
        <v>1600</v>
      </c>
      <c r="G29" s="29">
        <v>17</v>
      </c>
      <c r="H29" s="37"/>
      <c r="I29" s="31">
        <v>1</v>
      </c>
      <c r="J29" s="31">
        <v>1</v>
      </c>
      <c r="K29" s="32">
        <v>0</v>
      </c>
      <c r="L29" s="27">
        <v>10.3</v>
      </c>
      <c r="M29" s="38" t="s">
        <v>58</v>
      </c>
      <c r="N29" s="39"/>
      <c r="O29" s="61">
        <f t="shared" ref="O29:O37" si="24">((B29 +C29) - (B28 + C28)) * 24 * 60</f>
        <v>34.999999998835847</v>
      </c>
      <c r="P29" s="64">
        <f t="shared" ref="P29:P37" si="25">P28+O29/60</f>
        <v>7.6166666666977108</v>
      </c>
      <c r="Q29" s="61">
        <f t="shared" ref="Q29:Q37" si="26">F29*$F$2/1000*273/(273+L29)</f>
        <v>1558.7885633603953</v>
      </c>
      <c r="R29" s="62">
        <f t="shared" ref="R29:R37" si="27">$N$2-K29</f>
        <v>4122</v>
      </c>
      <c r="S29" s="63">
        <f t="shared" ref="S29:S37" si="28">IF(I29=J29,0,R29*(J29-I29))*273/(273+L29)</f>
        <v>0</v>
      </c>
      <c r="T29" s="73">
        <v>98.338829545208327</v>
      </c>
      <c r="U29" s="61">
        <f t="shared" ref="U29:U37" si="29">(S29+Q29)*T29/100</f>
        <v>1532.8944282931809</v>
      </c>
      <c r="V29" s="64">
        <f t="shared" ref="V29:V37" si="30">V28+U29/1000</f>
        <v>2.7468963898083851</v>
      </c>
      <c r="W29" s="64">
        <f t="shared" ref="W29:W37" si="31">W28+(G29+K29)/1000</f>
        <v>0.17599999999999999</v>
      </c>
      <c r="X29" s="71">
        <f t="shared" si="11"/>
        <v>1.6347852416144559E-2</v>
      </c>
      <c r="Y29" s="64">
        <f t="shared" si="12"/>
        <v>4.9888762809551261</v>
      </c>
      <c r="Z29" s="64">
        <f t="shared" ref="Z29:Z37" si="32">V29+Y29</f>
        <v>7.7357726707635113</v>
      </c>
      <c r="AB29" s="70">
        <f t="shared" ref="AB29:AB37" si="33">E29/10</f>
        <v>2.9</v>
      </c>
    </row>
    <row r="30" spans="1:28" ht="20.25" customHeight="1">
      <c r="A30" s="35">
        <f t="shared" si="7"/>
        <v>25</v>
      </c>
      <c r="B30" s="24">
        <v>41425</v>
      </c>
      <c r="C30" s="25">
        <v>0.67569444444444438</v>
      </c>
      <c r="D30" s="26">
        <v>36</v>
      </c>
      <c r="E30" s="27">
        <v>25</v>
      </c>
      <c r="F30" s="36">
        <v>1650</v>
      </c>
      <c r="G30" s="29">
        <v>23</v>
      </c>
      <c r="H30" s="37"/>
      <c r="I30" s="31">
        <v>1</v>
      </c>
      <c r="J30" s="31">
        <v>1</v>
      </c>
      <c r="K30" s="32">
        <v>0</v>
      </c>
      <c r="L30" s="27">
        <v>10.3</v>
      </c>
      <c r="M30" s="38" t="s">
        <v>59</v>
      </c>
      <c r="N30" s="39"/>
      <c r="O30" s="61">
        <f t="shared" si="24"/>
        <v>29.999999993015081</v>
      </c>
      <c r="P30" s="64">
        <f t="shared" si="25"/>
        <v>8.1166666665812954</v>
      </c>
      <c r="Q30" s="61">
        <f t="shared" si="26"/>
        <v>1607.5007059654076</v>
      </c>
      <c r="R30" s="62">
        <f t="shared" si="27"/>
        <v>4122</v>
      </c>
      <c r="S30" s="63">
        <f t="shared" si="28"/>
        <v>0</v>
      </c>
      <c r="T30" s="73">
        <v>98.52144125092947</v>
      </c>
      <c r="U30" s="61">
        <f t="shared" si="29"/>
        <v>1583.7328636359857</v>
      </c>
      <c r="V30" s="64">
        <f t="shared" si="30"/>
        <v>4.3306292534443713</v>
      </c>
      <c r="W30" s="64">
        <f t="shared" si="31"/>
        <v>0.19899999999999998</v>
      </c>
      <c r="X30" s="71">
        <f t="shared" si="11"/>
        <v>1.7428321196926621E-2</v>
      </c>
      <c r="Y30" s="64">
        <f t="shared" si="12"/>
        <v>4.8854978956508113</v>
      </c>
      <c r="Z30" s="64">
        <f t="shared" si="32"/>
        <v>9.2161271490951826</v>
      </c>
      <c r="AB30" s="70">
        <f t="shared" si="33"/>
        <v>2.5</v>
      </c>
    </row>
    <row r="31" spans="1:28" ht="20.25" customHeight="1">
      <c r="A31" s="35">
        <f t="shared" si="7"/>
        <v>26</v>
      </c>
      <c r="B31" s="24">
        <v>41425</v>
      </c>
      <c r="C31" s="25">
        <v>0.69236111111111109</v>
      </c>
      <c r="D31" s="26">
        <v>30</v>
      </c>
      <c r="E31" s="27">
        <v>20</v>
      </c>
      <c r="F31" s="36">
        <v>1480</v>
      </c>
      <c r="G31" s="29">
        <v>15</v>
      </c>
      <c r="H31" s="37"/>
      <c r="I31" s="31">
        <v>1</v>
      </c>
      <c r="J31" s="31">
        <v>1</v>
      </c>
      <c r="K31" s="32">
        <v>0</v>
      </c>
      <c r="L31" s="27">
        <v>10.3</v>
      </c>
      <c r="M31" s="38" t="s">
        <v>60</v>
      </c>
      <c r="N31" s="39"/>
      <c r="O31" s="61">
        <f t="shared" si="24"/>
        <v>24.000000004889444</v>
      </c>
      <c r="P31" s="64">
        <f t="shared" si="25"/>
        <v>8.5166666666627862</v>
      </c>
      <c r="Q31" s="61">
        <f t="shared" si="26"/>
        <v>1441.8794211083657</v>
      </c>
      <c r="R31" s="62">
        <f t="shared" si="27"/>
        <v>4122</v>
      </c>
      <c r="S31" s="63">
        <f t="shared" si="28"/>
        <v>0</v>
      </c>
      <c r="T31" s="73">
        <v>98.293422967165583</v>
      </c>
      <c r="U31" s="61">
        <f t="shared" si="29"/>
        <v>1417.2726380665645</v>
      </c>
      <c r="V31" s="64">
        <f t="shared" si="30"/>
        <v>5.7479018915109359</v>
      </c>
      <c r="W31" s="64">
        <f t="shared" si="31"/>
        <v>0.21399999999999997</v>
      </c>
      <c r="X31" s="71">
        <f t="shared" si="11"/>
        <v>1.8879874963915962E-2</v>
      </c>
      <c r="Y31" s="64">
        <f t="shared" si="12"/>
        <v>4.2278323838464553</v>
      </c>
      <c r="Z31" s="64">
        <f t="shared" si="32"/>
        <v>9.9757342753573912</v>
      </c>
      <c r="AB31" s="70">
        <f t="shared" si="33"/>
        <v>2</v>
      </c>
    </row>
    <row r="32" spans="1:28" ht="20.25" customHeight="1">
      <c r="A32" s="35">
        <f t="shared" si="7"/>
        <v>27</v>
      </c>
      <c r="B32" s="24">
        <v>41425</v>
      </c>
      <c r="C32" s="25">
        <v>0.71180555555555547</v>
      </c>
      <c r="D32" s="26">
        <v>25</v>
      </c>
      <c r="E32" s="27">
        <v>17</v>
      </c>
      <c r="F32" s="36">
        <v>1480</v>
      </c>
      <c r="G32" s="29">
        <v>9</v>
      </c>
      <c r="H32" s="37"/>
      <c r="I32" s="31">
        <v>1</v>
      </c>
      <c r="J32" s="31">
        <v>1</v>
      </c>
      <c r="K32" s="32">
        <v>0</v>
      </c>
      <c r="L32" s="27">
        <v>10.3</v>
      </c>
      <c r="M32" s="38" t="s">
        <v>61</v>
      </c>
      <c r="N32" s="39"/>
      <c r="O32" s="61">
        <f t="shared" si="24"/>
        <v>27.999999996973202</v>
      </c>
      <c r="P32" s="64">
        <f t="shared" si="25"/>
        <v>8.9833333332790062</v>
      </c>
      <c r="Q32" s="61">
        <f t="shared" si="26"/>
        <v>1441.8794211083657</v>
      </c>
      <c r="R32" s="62">
        <f t="shared" si="27"/>
        <v>4122</v>
      </c>
      <c r="S32" s="63">
        <f t="shared" si="28"/>
        <v>0</v>
      </c>
      <c r="T32" s="73">
        <v>98.308221422968856</v>
      </c>
      <c r="U32" s="61">
        <f t="shared" si="29"/>
        <v>1417.4860139554337</v>
      </c>
      <c r="V32" s="64">
        <f t="shared" si="30"/>
        <v>7.1653879054663694</v>
      </c>
      <c r="W32" s="64">
        <f t="shared" si="31"/>
        <v>0.22299999999999998</v>
      </c>
      <c r="X32" s="71">
        <f t="shared" si="11"/>
        <v>1.9808210788335775E-2</v>
      </c>
      <c r="Y32" s="64">
        <f t="shared" si="12"/>
        <v>3.7867929833750837</v>
      </c>
      <c r="Z32" s="64">
        <f t="shared" si="32"/>
        <v>10.952180888841454</v>
      </c>
      <c r="AB32" s="70">
        <f t="shared" si="33"/>
        <v>1.7</v>
      </c>
    </row>
    <row r="33" spans="1:28" ht="20.25" customHeight="1">
      <c r="A33" s="35">
        <f t="shared" si="7"/>
        <v>28</v>
      </c>
      <c r="B33" s="24">
        <v>41425</v>
      </c>
      <c r="C33" s="25">
        <v>0.72638888888888886</v>
      </c>
      <c r="D33" s="26">
        <v>20</v>
      </c>
      <c r="E33" s="27">
        <v>12</v>
      </c>
      <c r="F33" s="36">
        <v>1520</v>
      </c>
      <c r="G33" s="29">
        <v>9</v>
      </c>
      <c r="H33" s="37"/>
      <c r="I33" s="31">
        <v>1</v>
      </c>
      <c r="J33" s="31">
        <v>1</v>
      </c>
      <c r="K33" s="32">
        <v>0</v>
      </c>
      <c r="L33" s="27">
        <v>10.3</v>
      </c>
      <c r="M33" s="38" t="s">
        <v>62</v>
      </c>
      <c r="N33" s="39"/>
      <c r="O33" s="61">
        <f t="shared" si="24"/>
        <v>21.000000005587935</v>
      </c>
      <c r="P33" s="64">
        <f t="shared" si="25"/>
        <v>9.3333333333721384</v>
      </c>
      <c r="Q33" s="61">
        <f t="shared" si="26"/>
        <v>1480.8491351923756</v>
      </c>
      <c r="R33" s="62">
        <f t="shared" si="27"/>
        <v>4122</v>
      </c>
      <c r="S33" s="63">
        <f t="shared" si="28"/>
        <v>0</v>
      </c>
      <c r="T33" s="73">
        <v>98.26787136641785</v>
      </c>
      <c r="U33" s="61">
        <f t="shared" si="29"/>
        <v>1455.1989233015547</v>
      </c>
      <c r="V33" s="64">
        <f t="shared" si="30"/>
        <v>8.6205868287679248</v>
      </c>
      <c r="W33" s="64">
        <f t="shared" si="31"/>
        <v>0.23199999999999998</v>
      </c>
      <c r="X33" s="71">
        <f t="shared" si="11"/>
        <v>2.145797858078374E-2</v>
      </c>
      <c r="Y33" s="64">
        <f t="shared" si="12"/>
        <v>2.8356957211326765</v>
      </c>
      <c r="Z33" s="64">
        <f t="shared" si="32"/>
        <v>11.456282549900601</v>
      </c>
      <c r="AB33" s="70">
        <f t="shared" si="33"/>
        <v>1.2</v>
      </c>
    </row>
    <row r="34" spans="1:28" ht="20.25" customHeight="1">
      <c r="A34" s="35">
        <f t="shared" si="7"/>
        <v>29</v>
      </c>
      <c r="B34" s="24">
        <v>41425</v>
      </c>
      <c r="C34" s="25">
        <v>0.74097222222222225</v>
      </c>
      <c r="D34" s="26">
        <v>14</v>
      </c>
      <c r="E34" s="27">
        <v>8</v>
      </c>
      <c r="F34" s="36">
        <v>910</v>
      </c>
      <c r="G34" s="29">
        <v>41</v>
      </c>
      <c r="H34" s="37"/>
      <c r="I34" s="31">
        <v>1</v>
      </c>
      <c r="J34" s="31">
        <v>1</v>
      </c>
      <c r="K34" s="32">
        <v>0</v>
      </c>
      <c r="L34" s="27">
        <v>10.3</v>
      </c>
      <c r="M34" s="38" t="s">
        <v>63</v>
      </c>
      <c r="N34" s="39" t="s">
        <v>53</v>
      </c>
      <c r="O34" s="61">
        <f t="shared" si="24"/>
        <v>20.999999995110556</v>
      </c>
      <c r="P34" s="64">
        <f t="shared" si="25"/>
        <v>9.6833333332906477</v>
      </c>
      <c r="Q34" s="61">
        <f t="shared" si="26"/>
        <v>886.56099541122489</v>
      </c>
      <c r="R34" s="62">
        <f t="shared" si="27"/>
        <v>4122</v>
      </c>
      <c r="S34" s="63">
        <f t="shared" si="28"/>
        <v>0</v>
      </c>
      <c r="T34" s="73">
        <v>95.224106599488863</v>
      </c>
      <c r="U34" s="61">
        <f t="shared" si="29"/>
        <v>844.2197873398743</v>
      </c>
      <c r="V34" s="64">
        <f t="shared" si="30"/>
        <v>9.4648066161077988</v>
      </c>
      <c r="W34" s="64">
        <f t="shared" si="31"/>
        <v>0.27299999999999996</v>
      </c>
      <c r="X34" s="71">
        <f t="shared" si="11"/>
        <v>2.2876187857760737E-2</v>
      </c>
      <c r="Y34" s="64">
        <f t="shared" si="12"/>
        <v>2.2428805061751005</v>
      </c>
      <c r="Z34" s="64">
        <f t="shared" si="32"/>
        <v>11.707687122282898</v>
      </c>
      <c r="AB34" s="70">
        <f t="shared" si="33"/>
        <v>0.8</v>
      </c>
    </row>
    <row r="35" spans="1:28" ht="20.25" customHeight="1">
      <c r="A35" s="35">
        <f t="shared" si="7"/>
        <v>30</v>
      </c>
      <c r="B35" s="24">
        <v>41425</v>
      </c>
      <c r="C35" s="25">
        <v>0.76388888888888884</v>
      </c>
      <c r="D35" s="26">
        <v>9</v>
      </c>
      <c r="E35" s="27">
        <v>5</v>
      </c>
      <c r="F35" s="36">
        <v>740</v>
      </c>
      <c r="G35" s="29">
        <v>53</v>
      </c>
      <c r="H35" s="37"/>
      <c r="I35" s="31">
        <v>1</v>
      </c>
      <c r="J35" s="31">
        <v>1</v>
      </c>
      <c r="K35" s="32">
        <v>0</v>
      </c>
      <c r="L35" s="27">
        <v>10.3</v>
      </c>
      <c r="M35" s="38" t="s">
        <v>64</v>
      </c>
      <c r="N35" s="39"/>
      <c r="O35" s="61">
        <f t="shared" si="24"/>
        <v>33.000000002793968</v>
      </c>
      <c r="P35" s="64">
        <f t="shared" si="25"/>
        <v>10.233333333337214</v>
      </c>
      <c r="Q35" s="61">
        <f t="shared" si="26"/>
        <v>720.93971055418285</v>
      </c>
      <c r="R35" s="62">
        <f t="shared" si="27"/>
        <v>4122</v>
      </c>
      <c r="S35" s="63">
        <f t="shared" si="28"/>
        <v>0</v>
      </c>
      <c r="T35" s="73">
        <v>97.938089140149614</v>
      </c>
      <c r="U35" s="61">
        <f t="shared" si="29"/>
        <v>706.07457636929223</v>
      </c>
      <c r="V35" s="64">
        <f t="shared" si="30"/>
        <v>10.170881192477092</v>
      </c>
      <c r="W35" s="64">
        <f t="shared" si="31"/>
        <v>0.32599999999999996</v>
      </c>
      <c r="X35" s="71">
        <f t="shared" si="11"/>
        <v>2.4001025006052529E-2</v>
      </c>
      <c r="Y35" s="64">
        <f t="shared" si="12"/>
        <v>1.8396510785421816</v>
      </c>
      <c r="Z35" s="64">
        <f t="shared" si="32"/>
        <v>12.010532271019272</v>
      </c>
      <c r="AB35" s="70">
        <f t="shared" si="33"/>
        <v>0.5</v>
      </c>
    </row>
    <row r="36" spans="1:28" ht="20.25" customHeight="1">
      <c r="A36" s="35">
        <f t="shared" si="7"/>
        <v>31</v>
      </c>
      <c r="B36" s="24">
        <v>41425</v>
      </c>
      <c r="C36" s="25">
        <v>0.77916666666666667</v>
      </c>
      <c r="D36" s="26">
        <v>6</v>
      </c>
      <c r="E36" s="27">
        <v>0</v>
      </c>
      <c r="F36" s="36">
        <v>1740</v>
      </c>
      <c r="G36" s="29">
        <v>14</v>
      </c>
      <c r="H36" s="37"/>
      <c r="I36" s="31">
        <v>1</v>
      </c>
      <c r="J36" s="31">
        <v>1</v>
      </c>
      <c r="K36" s="32">
        <v>0</v>
      </c>
      <c r="L36" s="27">
        <v>10.3</v>
      </c>
      <c r="M36" s="38" t="s">
        <v>65</v>
      </c>
      <c r="N36" s="39"/>
      <c r="O36" s="61">
        <f t="shared" si="24"/>
        <v>21.999999998370185</v>
      </c>
      <c r="P36" s="64">
        <f t="shared" si="25"/>
        <v>10.599999999976717</v>
      </c>
      <c r="Q36" s="61">
        <f t="shared" si="26"/>
        <v>1695.1825626544301</v>
      </c>
      <c r="R36" s="62">
        <f t="shared" si="27"/>
        <v>4122</v>
      </c>
      <c r="S36" s="63">
        <f t="shared" si="28"/>
        <v>0</v>
      </c>
      <c r="T36" s="73">
        <v>98.239258356590256</v>
      </c>
      <c r="U36" s="61">
        <f t="shared" si="29"/>
        <v>1665.334777341953</v>
      </c>
      <c r="V36" s="64">
        <f t="shared" si="30"/>
        <v>11.836215969819044</v>
      </c>
      <c r="W36" s="64">
        <f t="shared" si="31"/>
        <v>0.33999999999999997</v>
      </c>
      <c r="X36" s="71">
        <f t="shared" si="11"/>
        <v>2.5999999999999999E-2</v>
      </c>
      <c r="Y36" s="64">
        <f t="shared" si="12"/>
        <v>0.3199772967016874</v>
      </c>
      <c r="Z36" s="64">
        <f t="shared" si="32"/>
        <v>12.156193266520731</v>
      </c>
      <c r="AB36" s="70">
        <f t="shared" si="33"/>
        <v>0</v>
      </c>
    </row>
    <row r="37" spans="1:28" ht="20.25" customHeight="1">
      <c r="A37" s="35">
        <f t="shared" si="7"/>
        <v>32</v>
      </c>
      <c r="B37" s="24">
        <v>41425</v>
      </c>
      <c r="C37" s="25">
        <v>0.79236111111111107</v>
      </c>
      <c r="D37" s="26">
        <v>0</v>
      </c>
      <c r="E37" s="27">
        <v>0</v>
      </c>
      <c r="F37" s="36">
        <v>190</v>
      </c>
      <c r="G37" s="29">
        <v>14</v>
      </c>
      <c r="H37" s="37"/>
      <c r="I37" s="31">
        <v>1</v>
      </c>
      <c r="J37" s="31">
        <v>1</v>
      </c>
      <c r="K37" s="32">
        <v>0</v>
      </c>
      <c r="L37" s="27">
        <v>10.3</v>
      </c>
      <c r="M37" s="38" t="s">
        <v>66</v>
      </c>
      <c r="N37" s="39" t="s">
        <v>54</v>
      </c>
      <c r="O37" s="61">
        <f t="shared" si="24"/>
        <v>18.999999999068677</v>
      </c>
      <c r="P37" s="64">
        <f t="shared" si="25"/>
        <v>10.916666666627862</v>
      </c>
      <c r="Q37" s="61">
        <f t="shared" si="26"/>
        <v>185.10614189904695</v>
      </c>
      <c r="R37" s="62">
        <f t="shared" si="27"/>
        <v>4122</v>
      </c>
      <c r="S37" s="63">
        <f t="shared" si="28"/>
        <v>0</v>
      </c>
      <c r="T37" s="73">
        <v>94.609749085797958</v>
      </c>
      <c r="U37" s="61">
        <f t="shared" si="29"/>
        <v>175.12845639308944</v>
      </c>
      <c r="V37" s="64">
        <f t="shared" si="30"/>
        <v>12.011344426212133</v>
      </c>
      <c r="W37" s="64">
        <f t="shared" si="31"/>
        <v>0.35399999999999998</v>
      </c>
      <c r="X37" s="71">
        <f t="shared" si="11"/>
        <v>2.5999999999999999E-2</v>
      </c>
      <c r="Y37" s="64">
        <f t="shared" si="12"/>
        <v>0.32274180625307752</v>
      </c>
      <c r="Z37" s="64">
        <f t="shared" si="32"/>
        <v>12.334086232465211</v>
      </c>
      <c r="AB37" s="70">
        <f t="shared" si="33"/>
        <v>0</v>
      </c>
    </row>
  </sheetData>
  <mergeCells count="22">
    <mergeCell ref="W4:Y4"/>
    <mergeCell ref="U4:V4"/>
    <mergeCell ref="O4:P4"/>
    <mergeCell ref="Q3:S3"/>
    <mergeCell ref="R4:S4"/>
    <mergeCell ref="A2:E2"/>
    <mergeCell ref="F2:H2"/>
    <mergeCell ref="I2:K2"/>
    <mergeCell ref="L2:M2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I4:L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5"/>
  <sheetViews>
    <sheetView workbookViewId="0">
      <selection activeCell="E44" sqref="E44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4" t="str">
        <f>CONCATENATE(M1," Depressurization Table")</f>
        <v>UT-GOM2-1-H005-7FB-4 Depressurization Table</v>
      </c>
      <c r="B1" s="114"/>
      <c r="C1" s="114"/>
      <c r="D1" s="114"/>
      <c r="E1" s="114"/>
      <c r="F1" s="114"/>
      <c r="G1" s="114"/>
      <c r="H1" s="114"/>
      <c r="I1" s="114"/>
      <c r="M1" s="22" t="s">
        <v>55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35" ca="1" si="0">INDIRECT(CONCATENATE("'",$M$1,"'!A",ROW()+2))</f>
        <v>1</v>
      </c>
      <c r="B4" s="18">
        <f t="shared" ref="B4:B35" ca="1" si="1">INDIRECT(CONCATENATE("'",$M$1,"'!D",ROW()+2))/10</f>
        <v>20.2</v>
      </c>
      <c r="C4" s="18">
        <f t="shared" ref="C4:C35" ca="1" si="2">INDIRECT(CONCATENATE("'",$M$1,"'!E",ROW()+2))/10</f>
        <v>20.2</v>
      </c>
      <c r="D4" s="19">
        <f ca="1">(INDIRECT(CONCATENATE("'",$M$1,"'!R",ROW()+2))+INDIRECT(CONCATENATE("'",$M$1,"'!T",ROW()+2)))/1000</f>
        <v>4.2190190633893279</v>
      </c>
      <c r="E4" s="18">
        <f ca="1">INDIRECT(CONCATENATE("'",$M$1,"'!t",ROW()+2))</f>
        <v>97.01906338932794</v>
      </c>
      <c r="F4" s="68" t="str">
        <f ca="1">IF(INDIRECT(CONCATENATE("'",$M$1,"'!m",ROW()+2))="","",INDIRECT(CONCATENATE("'",$M$1,"'!m",ROW()+2)))</f>
        <v/>
      </c>
      <c r="G4" s="19">
        <f t="shared" ref="G4:G35" ca="1" si="3">INDIRECT(CONCATENATE("'",$M$1,"'!x",ROW()+2))</f>
        <v>0</v>
      </c>
      <c r="H4" s="20">
        <f t="shared" ref="H4:H7" ca="1" si="4">D4/MAX(D4:D26)</f>
        <v>4.347803396862604E-2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20.2</v>
      </c>
      <c r="C5" s="18">
        <f t="shared" ca="1" si="2"/>
        <v>15</v>
      </c>
      <c r="D5" s="19">
        <f t="shared" ref="D5:D35" ca="1" si="5">D4+(INDIRECT(CONCATENATE("'",$M$1,"'!R",ROW()+2))+INDIRECT(CONCATENATE("'",$M$1,"'!T",ROW()+2)))/1000</f>
        <v>8.4380381267786557</v>
      </c>
      <c r="E5" s="18">
        <f t="shared" ref="E5:E35" ca="1" si="6">INDIRECT(CONCATENATE("'",$M$1,"'!t",ROW()+2))</f>
        <v>97.01906338932794</v>
      </c>
      <c r="F5" s="68" t="str">
        <f t="shared" ref="F5:F35" ca="1" si="7">IF(INDIRECT(CONCATENATE("'",$M$1,"'!m",ROW()+2))="","",INDIRECT(CONCATENATE("'",$M$1,"'!m",ROW()+2)))</f>
        <v/>
      </c>
      <c r="G5" s="19">
        <f t="shared" ca="1" si="3"/>
        <v>2.3586667855247253E-3</v>
      </c>
      <c r="H5" s="20">
        <f t="shared" ca="1" si="4"/>
        <v>8.3331830427342046E-2</v>
      </c>
      <c r="I5" s="19">
        <f t="shared" ref="I5:I35" ca="1" si="8">INDIRECT(CONCATENATE("'",$M$1,"'!y",ROW()+2))</f>
        <v>9.0538611524888776E-2</v>
      </c>
      <c r="J5" s="21"/>
    </row>
    <row r="6" spans="1:21">
      <c r="A6" s="17">
        <f t="shared" ca="1" si="0"/>
        <v>3</v>
      </c>
      <c r="B6" s="18">
        <f t="shared" ca="1" si="1"/>
        <v>15</v>
      </c>
      <c r="C6" s="18">
        <f t="shared" ca="1" si="2"/>
        <v>13.1</v>
      </c>
      <c r="D6" s="19">
        <f t="shared" ca="1" si="5"/>
        <v>12.657057190167983</v>
      </c>
      <c r="E6" s="18">
        <f t="shared" ca="1" si="6"/>
        <v>97.01906338932794</v>
      </c>
      <c r="F6" s="68" t="str">
        <f t="shared" ca="1" si="7"/>
        <v/>
      </c>
      <c r="G6" s="19">
        <f t="shared" ca="1" si="3"/>
        <v>3.1966281080481537E-3</v>
      </c>
      <c r="H6" s="20">
        <f t="shared" ca="1" si="4"/>
        <v>0.11999621320165847</v>
      </c>
      <c r="I6" s="19">
        <f t="shared" ca="1" si="8"/>
        <v>0.63704239526062456</v>
      </c>
      <c r="J6" s="21"/>
    </row>
    <row r="7" spans="1:21">
      <c r="A7" s="17">
        <f t="shared" ca="1" si="0"/>
        <v>4</v>
      </c>
      <c r="B7" s="18">
        <f t="shared" ca="1" si="1"/>
        <v>13.1</v>
      </c>
      <c r="C7" s="18">
        <f t="shared" ca="1" si="2"/>
        <v>12.1</v>
      </c>
      <c r="D7" s="19">
        <f t="shared" ca="1" si="5"/>
        <v>16.876076253557311</v>
      </c>
      <c r="E7" s="18">
        <f t="shared" ca="1" si="6"/>
        <v>97.01906338932794</v>
      </c>
      <c r="F7" s="68" t="str">
        <f t="shared" ca="1" si="7"/>
        <v/>
      </c>
      <c r="G7" s="19">
        <f t="shared" ca="1" si="3"/>
        <v>3.7512778353124923E-3</v>
      </c>
      <c r="H7" s="20">
        <f t="shared" ca="1" si="4"/>
        <v>0.15383969854086241</v>
      </c>
      <c r="I7" s="19">
        <f t="shared" ca="1" si="8"/>
        <v>0.84921589659964325</v>
      </c>
      <c r="J7" s="21"/>
    </row>
    <row r="8" spans="1:21">
      <c r="A8" s="17">
        <f t="shared" ca="1" si="0"/>
        <v>5</v>
      </c>
      <c r="B8" s="18">
        <f t="shared" ca="1" si="1"/>
        <v>12.1</v>
      </c>
      <c r="C8" s="18">
        <f t="shared" ca="1" si="2"/>
        <v>10.9</v>
      </c>
      <c r="D8" s="19">
        <f t="shared" ca="1" si="5"/>
        <v>21.09509531694664</v>
      </c>
      <c r="E8" s="18">
        <f t="shared" ca="1" si="6"/>
        <v>97.01906338932794</v>
      </c>
      <c r="F8" s="68" t="str">
        <f t="shared" ca="1" si="7"/>
        <v/>
      </c>
      <c r="G8" s="19">
        <f t="shared" ca="1" si="3"/>
        <v>4.5453127539920599E-3</v>
      </c>
      <c r="H8" s="20">
        <f ca="1">D8/MAX(D8:D29)</f>
        <v>0.19229962317607802</v>
      </c>
      <c r="I8" s="19">
        <f t="shared" ca="1" si="8"/>
        <v>0.94674966173069297</v>
      </c>
      <c r="J8" s="21"/>
    </row>
    <row r="9" spans="1:21">
      <c r="A9" s="17">
        <f t="shared" ca="1" si="0"/>
        <v>6</v>
      </c>
      <c r="B9" s="18">
        <f t="shared" ca="1" si="1"/>
        <v>10.9</v>
      </c>
      <c r="C9" s="18">
        <f t="shared" ca="1" si="2"/>
        <v>10</v>
      </c>
      <c r="D9" s="19">
        <f t="shared" ca="1" si="5"/>
        <v>25.314114380335969</v>
      </c>
      <c r="E9" s="18">
        <f t="shared" ca="1" si="6"/>
        <v>97.01906338932794</v>
      </c>
      <c r="F9" s="68" t="str">
        <f t="shared" ca="1" si="7"/>
        <v/>
      </c>
      <c r="G9" s="19">
        <f t="shared" ca="1" si="3"/>
        <v>5.2493094678610396E-3</v>
      </c>
      <c r="H9" s="20">
        <f ca="1">D9/MAX(D9:D29)</f>
        <v>0.23075954781129365</v>
      </c>
      <c r="I9" s="19">
        <f t="shared" ca="1" si="8"/>
        <v>0.97221696798450852</v>
      </c>
      <c r="J9" s="21"/>
    </row>
    <row r="10" spans="1:21">
      <c r="A10" s="17">
        <f t="shared" ca="1" si="0"/>
        <v>7</v>
      </c>
      <c r="B10" s="18">
        <f t="shared" ca="1" si="1"/>
        <v>10</v>
      </c>
      <c r="C10" s="18">
        <f t="shared" ca="1" si="2"/>
        <v>8.9</v>
      </c>
      <c r="D10" s="19">
        <f t="shared" ca="1" si="5"/>
        <v>29.533133443725298</v>
      </c>
      <c r="E10" s="18">
        <f t="shared" ca="1" si="6"/>
        <v>97.01906338932794</v>
      </c>
      <c r="F10" s="68" t="str">
        <f t="shared" ca="1" si="7"/>
        <v/>
      </c>
      <c r="G10" s="19">
        <f t="shared" ca="1" si="3"/>
        <v>6.2594763911127983E-3</v>
      </c>
      <c r="H10" s="20">
        <f ca="1">D10/MAX(D10:D29)</f>
        <v>0.26921947244650923</v>
      </c>
      <c r="I10" s="19">
        <f t="shared" ca="1" si="8"/>
        <v>0.92471255819475673</v>
      </c>
      <c r="J10" s="21"/>
    </row>
    <row r="11" spans="1:21">
      <c r="A11" s="17">
        <f t="shared" ca="1" si="0"/>
        <v>8</v>
      </c>
      <c r="B11" s="18">
        <f t="shared" ca="1" si="1"/>
        <v>9</v>
      </c>
      <c r="C11" s="18">
        <f t="shared" ca="1" si="2"/>
        <v>7.3</v>
      </c>
      <c r="D11" s="19">
        <f t="shared" ca="1" si="5"/>
        <v>33.752152507114623</v>
      </c>
      <c r="E11" s="18">
        <f t="shared" ca="1" si="6"/>
        <v>97.01906338932794</v>
      </c>
      <c r="F11" s="68" t="str">
        <f t="shared" ca="1" si="7"/>
        <v/>
      </c>
      <c r="G11" s="19">
        <f t="shared" ca="1" si="3"/>
        <v>8.0856957036941311E-3</v>
      </c>
      <c r="H11" s="20">
        <f t="shared" ref="H11:H17" ca="1" si="9">D11/MAX(D11:D29)</f>
        <v>0.30767939708172481</v>
      </c>
      <c r="I11" s="19">
        <f t="shared" ca="1" si="8"/>
        <v>0.77304542262824727</v>
      </c>
      <c r="J11" s="21"/>
    </row>
    <row r="12" spans="1:21">
      <c r="A12" s="17">
        <f t="shared" ca="1" si="0"/>
        <v>9</v>
      </c>
      <c r="B12" s="18">
        <f t="shared" ca="1" si="1"/>
        <v>7.3</v>
      </c>
      <c r="C12" s="18">
        <f t="shared" ca="1" si="2"/>
        <v>6.4</v>
      </c>
      <c r="D12" s="19">
        <f t="shared" ca="1" si="5"/>
        <v>37.971171570503948</v>
      </c>
      <c r="E12" s="18">
        <f t="shared" ca="1" si="6"/>
        <v>97.01906338932794</v>
      </c>
      <c r="F12" s="68" t="str">
        <f t="shared" ca="1" si="7"/>
        <v/>
      </c>
      <c r="G12" s="19">
        <f t="shared" ca="1" si="3"/>
        <v>9.3380414745645179E-3</v>
      </c>
      <c r="H12" s="20">
        <f t="shared" ca="1" si="9"/>
        <v>0.33331609285366981</v>
      </c>
      <c r="I12" s="19">
        <f t="shared" ca="1" si="8"/>
        <v>0.77467007875686533</v>
      </c>
      <c r="J12" s="21"/>
    </row>
    <row r="13" spans="1:21">
      <c r="A13" s="17">
        <f t="shared" ca="1" si="0"/>
        <v>10</v>
      </c>
      <c r="B13" s="18">
        <f t="shared" ca="1" si="1"/>
        <v>6.4</v>
      </c>
      <c r="C13" s="18">
        <f t="shared" ca="1" si="2"/>
        <v>5.4</v>
      </c>
      <c r="D13" s="19">
        <f t="shared" ca="1" si="5"/>
        <v>42.190190633893273</v>
      </c>
      <c r="E13" s="18">
        <f t="shared" ca="1" si="6"/>
        <v>97.01906338932794</v>
      </c>
      <c r="F13" s="68" t="str">
        <f t="shared" ca="1" si="7"/>
        <v/>
      </c>
      <c r="G13" s="19">
        <f t="shared" ca="1" si="3"/>
        <v>1.0958293184173858E-2</v>
      </c>
      <c r="H13" s="20">
        <f t="shared" ca="1" si="9"/>
        <v>0.35712126985147719</v>
      </c>
      <c r="I13" s="19">
        <f t="shared" ca="1" si="8"/>
        <v>0.68799262522035787</v>
      </c>
      <c r="J13" s="21"/>
    </row>
    <row r="14" spans="1:21">
      <c r="A14" s="17">
        <f t="shared" ca="1" si="0"/>
        <v>11</v>
      </c>
      <c r="B14" s="18">
        <f t="shared" ca="1" si="1"/>
        <v>5.9</v>
      </c>
      <c r="C14" s="18">
        <f t="shared" ca="1" si="2"/>
        <v>5</v>
      </c>
      <c r="D14" s="19">
        <f t="shared" ca="1" si="5"/>
        <v>46.409209697282598</v>
      </c>
      <c r="E14" s="18">
        <f t="shared" ca="1" si="6"/>
        <v>97.01906338932794</v>
      </c>
      <c r="F14" s="68" t="str">
        <f t="shared" ca="1" si="7"/>
        <v/>
      </c>
      <c r="G14" s="19">
        <f t="shared" ca="1" si="3"/>
        <v>1.168255306704776E-2</v>
      </c>
      <c r="H14" s="20">
        <f t="shared" ca="1" si="9"/>
        <v>0.37929377228143829</v>
      </c>
      <c r="I14" s="19">
        <f t="shared" ca="1" si="8"/>
        <v>0.77603993914788016</v>
      </c>
      <c r="J14" s="21"/>
    </row>
    <row r="15" spans="1:21">
      <c r="A15" s="17">
        <f t="shared" ca="1" si="0"/>
        <v>12</v>
      </c>
      <c r="B15" s="18">
        <f t="shared" ca="1" si="1"/>
        <v>5.8</v>
      </c>
      <c r="C15" s="18">
        <f t="shared" ca="1" si="2"/>
        <v>4.8</v>
      </c>
      <c r="D15" s="19">
        <f t="shared" ca="1" si="5"/>
        <v>50.628228760671924</v>
      </c>
      <c r="E15" s="18">
        <f t="shared" ca="1" si="6"/>
        <v>97.01906338932794</v>
      </c>
      <c r="F15" s="68" t="str">
        <f t="shared" ca="1" si="7"/>
        <v/>
      </c>
      <c r="G15" s="19">
        <f t="shared" ca="1" si="3"/>
        <v>1.2062440548382814E-2</v>
      </c>
      <c r="H15" s="20">
        <f t="shared" ca="1" si="9"/>
        <v>0.3999802018987304</v>
      </c>
      <c r="I15" s="19">
        <f t="shared" ca="1" si="8"/>
        <v>0.80719396761466056</v>
      </c>
      <c r="J15" s="21"/>
    </row>
    <row r="16" spans="1:21">
      <c r="A16" s="17">
        <f t="shared" ca="1" si="0"/>
        <v>13</v>
      </c>
      <c r="B16" s="18">
        <f t="shared" ca="1" si="1"/>
        <v>5.6</v>
      </c>
      <c r="C16" s="18">
        <f t="shared" ca="1" si="2"/>
        <v>4.5999999999999996</v>
      </c>
      <c r="D16" s="19">
        <f t="shared" ca="1" si="5"/>
        <v>54.847247824061249</v>
      </c>
      <c r="E16" s="18">
        <f t="shared" ca="1" si="6"/>
        <v>97.01906338932794</v>
      </c>
      <c r="F16" s="68" t="str">
        <f t="shared" ca="1" si="7"/>
        <v/>
      </c>
      <c r="G16" s="19">
        <f t="shared" ca="1" si="3"/>
        <v>1.2454681022907529E-2</v>
      </c>
      <c r="H16" s="20">
        <f t="shared" ca="1" si="9"/>
        <v>0.41933084021568778</v>
      </c>
      <c r="I16" s="19">
        <f t="shared" ca="1" si="8"/>
        <v>0.94946890463989608</v>
      </c>
      <c r="J16" s="21"/>
    </row>
    <row r="17" spans="1:10">
      <c r="A17" s="17">
        <f t="shared" ca="1" si="0"/>
        <v>14</v>
      </c>
      <c r="B17" s="18">
        <f t="shared" ca="1" si="1"/>
        <v>5.5</v>
      </c>
      <c r="C17" s="18">
        <f t="shared" ca="1" si="2"/>
        <v>4.5</v>
      </c>
      <c r="D17" s="19">
        <f t="shared" ca="1" si="5"/>
        <v>59.066266887450574</v>
      </c>
      <c r="E17" s="18">
        <f t="shared" ca="1" si="6"/>
        <v>97.01906338932794</v>
      </c>
      <c r="F17" s="68" t="str">
        <f t="shared" ca="1" si="7"/>
        <v/>
      </c>
      <c r="G17" s="19">
        <f t="shared" ca="1" si="3"/>
        <v>1.2655558654959263E-2</v>
      </c>
      <c r="H17" s="20">
        <f t="shared" ca="1" si="9"/>
        <v>0.43748355220781787</v>
      </c>
      <c r="I17" s="19">
        <f t="shared" ca="1" si="8"/>
        <v>1.1095219905750089</v>
      </c>
      <c r="J17" s="21"/>
    </row>
    <row r="18" spans="1:10">
      <c r="A18" s="17">
        <f t="shared" ca="1" si="0"/>
        <v>15</v>
      </c>
      <c r="B18" s="18">
        <f t="shared" ca="1" si="1"/>
        <v>5.4</v>
      </c>
      <c r="C18" s="18">
        <f t="shared" ca="1" si="2"/>
        <v>4.5</v>
      </c>
      <c r="D18" s="19">
        <f t="shared" ca="1" si="5"/>
        <v>63.285285950839899</v>
      </c>
      <c r="E18" s="18">
        <f t="shared" ca="1" si="6"/>
        <v>97.01906338932794</v>
      </c>
      <c r="F18" s="68" t="str">
        <f t="shared" ca="1" si="7"/>
        <v/>
      </c>
      <c r="G18" s="19">
        <f t="shared" ca="1" si="3"/>
        <v>1.2655558654959263E-2</v>
      </c>
      <c r="H18" s="20">
        <f ca="1">D18/MAX(D18:D35)</f>
        <v>0.46873237736551915</v>
      </c>
      <c r="I18" s="19">
        <f t="shared" ca="1" si="8"/>
        <v>1.2901857374265941</v>
      </c>
      <c r="J18" s="21"/>
    </row>
    <row r="19" spans="1:10">
      <c r="A19" s="17">
        <f t="shared" ca="1" si="0"/>
        <v>16</v>
      </c>
      <c r="B19" s="18">
        <f t="shared" ca="1" si="1"/>
        <v>5.2</v>
      </c>
      <c r="C19" s="18">
        <f t="shared" ca="1" si="2"/>
        <v>4.4000000000000004</v>
      </c>
      <c r="D19" s="19">
        <f t="shared" ca="1" si="5"/>
        <v>67.504305014229232</v>
      </c>
      <c r="E19" s="18">
        <f t="shared" ca="1" si="6"/>
        <v>97.01906338932794</v>
      </c>
      <c r="F19" s="68" t="str">
        <f t="shared" ca="1" si="7"/>
        <v/>
      </c>
      <c r="G19" s="19">
        <f t="shared" ca="1" si="3"/>
        <v>1.2859676179143482E-2</v>
      </c>
      <c r="H19" s="20">
        <f ca="1">D19/MAX(D19:D35)</f>
        <v>0.49998120252322048</v>
      </c>
      <c r="I19" s="19">
        <f t="shared" ca="1" si="8"/>
        <v>1.8846198477957201</v>
      </c>
      <c r="J19" s="21"/>
    </row>
    <row r="20" spans="1:10">
      <c r="A20" s="17">
        <f t="shared" ca="1" si="0"/>
        <v>17</v>
      </c>
      <c r="B20" s="18">
        <f t="shared" ca="1" si="1"/>
        <v>5.0999999999999996</v>
      </c>
      <c r="C20" s="18">
        <f t="shared" ca="1" si="2"/>
        <v>4.5</v>
      </c>
      <c r="D20" s="19">
        <f t="shared" ca="1" si="5"/>
        <v>71.723324077618557</v>
      </c>
      <c r="E20" s="18">
        <f t="shared" ca="1" si="6"/>
        <v>97.01906338932794</v>
      </c>
      <c r="F20" s="68" t="str">
        <f t="shared" ca="1" si="7"/>
        <v/>
      </c>
      <c r="G20" s="19">
        <f t="shared" ca="1" si="3"/>
        <v>1.2655558654959263E-2</v>
      </c>
      <c r="H20" s="20">
        <f ca="1">D20/MAX(D20:D35)</f>
        <v>0.53123002768092176</v>
      </c>
      <c r="I20" s="19">
        <f t="shared" ca="1" si="8"/>
        <v>2.1160816884121476</v>
      </c>
    </row>
    <row r="21" spans="1:10">
      <c r="A21" s="17">
        <f t="shared" ca="1" si="0"/>
        <v>18</v>
      </c>
      <c r="B21" s="18">
        <f t="shared" ca="1" si="1"/>
        <v>5.0999999999999996</v>
      </c>
      <c r="C21" s="18">
        <f t="shared" ca="1" si="2"/>
        <v>4.5</v>
      </c>
      <c r="D21" s="19">
        <f t="shared" ca="1" si="5"/>
        <v>75.942343141007882</v>
      </c>
      <c r="E21" s="18">
        <f t="shared" ca="1" si="6"/>
        <v>97.01906338932794</v>
      </c>
      <c r="F21" s="68" t="str">
        <f t="shared" ca="1" si="7"/>
        <v/>
      </c>
      <c r="G21" s="19">
        <f t="shared" ca="1" si="3"/>
        <v>1.2655558654959263E-2</v>
      </c>
      <c r="H21" s="20">
        <f t="shared" ref="H21:H35" ca="1" si="10">D21/MAX(D21:D35)</f>
        <v>0.56247885283862298</v>
      </c>
      <c r="I21" s="19">
        <f t="shared" ca="1" si="8"/>
        <v>2.5373652836056353</v>
      </c>
    </row>
    <row r="22" spans="1:10">
      <c r="A22" s="17">
        <f t="shared" ca="1" si="0"/>
        <v>19</v>
      </c>
      <c r="B22" s="18">
        <f t="shared" ca="1" si="1"/>
        <v>5</v>
      </c>
      <c r="C22" s="18">
        <f t="shared" ca="1" si="2"/>
        <v>4.5</v>
      </c>
      <c r="D22" s="19">
        <f t="shared" ca="1" si="5"/>
        <v>80.161362204397207</v>
      </c>
      <c r="E22" s="18">
        <f t="shared" ca="1" si="6"/>
        <v>97.01906338932794</v>
      </c>
      <c r="F22" s="68" t="str">
        <f t="shared" ca="1" si="7"/>
        <v/>
      </c>
      <c r="G22" s="19">
        <f t="shared" ca="1" si="3"/>
        <v>1.2655558654959263E-2</v>
      </c>
      <c r="H22" s="20">
        <f t="shared" ca="1" si="10"/>
        <v>0.59372767799632431</v>
      </c>
      <c r="I22" s="19">
        <f t="shared" ca="1" si="8"/>
        <v>2.7093900485958473</v>
      </c>
    </row>
    <row r="23" spans="1:10">
      <c r="A23" s="17">
        <f t="shared" ca="1" si="0"/>
        <v>20</v>
      </c>
      <c r="B23" s="18">
        <f t="shared" ca="1" si="1"/>
        <v>5</v>
      </c>
      <c r="C23" s="18">
        <f t="shared" ca="1" si="2"/>
        <v>4.5</v>
      </c>
      <c r="D23" s="19">
        <f t="shared" ca="1" si="5"/>
        <v>84.380381267786532</v>
      </c>
      <c r="E23" s="18">
        <f t="shared" ca="1" si="6"/>
        <v>97.01906338932794</v>
      </c>
      <c r="F23" s="68" t="str">
        <f t="shared" ca="1" si="7"/>
        <v/>
      </c>
      <c r="G23" s="19">
        <f t="shared" ca="1" si="3"/>
        <v>1.2655558654959263E-2</v>
      </c>
      <c r="H23" s="20">
        <f t="shared" ca="1" si="10"/>
        <v>0.62497650315402553</v>
      </c>
      <c r="I23" s="19">
        <f t="shared" ca="1" si="8"/>
        <v>3.1824581523189317</v>
      </c>
    </row>
    <row r="24" spans="1:10">
      <c r="A24" s="17">
        <f t="shared" ca="1" si="0"/>
        <v>21</v>
      </c>
      <c r="B24" s="18">
        <f t="shared" ca="1" si="1"/>
        <v>4.9000000000000004</v>
      </c>
      <c r="C24" s="18">
        <f t="shared" ca="1" si="2"/>
        <v>4.3</v>
      </c>
      <c r="D24" s="19">
        <f t="shared" ca="1" si="5"/>
        <v>88.599400331175858</v>
      </c>
      <c r="E24" s="18">
        <f t="shared" ca="1" si="6"/>
        <v>97.01906338932794</v>
      </c>
      <c r="F24" s="68" t="str">
        <f t="shared" ca="1" si="7"/>
        <v/>
      </c>
      <c r="G24" s="19">
        <f t="shared" ca="1" si="3"/>
        <v>1.3067085850661136E-2</v>
      </c>
      <c r="H24" s="20">
        <f t="shared" ca="1" si="10"/>
        <v>0.65622532831172686</v>
      </c>
      <c r="I24" s="19">
        <f t="shared" ca="1" si="8"/>
        <v>3.5619343159832333</v>
      </c>
    </row>
    <row r="25" spans="1:10">
      <c r="A25" s="17">
        <f t="shared" ca="1" si="0"/>
        <v>22</v>
      </c>
      <c r="B25" s="18">
        <f t="shared" ca="1" si="1"/>
        <v>4.8</v>
      </c>
      <c r="C25" s="18">
        <f t="shared" ca="1" si="2"/>
        <v>3.5</v>
      </c>
      <c r="D25" s="19">
        <f t="shared" ca="1" si="5"/>
        <v>92.818419394565183</v>
      </c>
      <c r="E25" s="18">
        <f t="shared" ca="1" si="6"/>
        <v>97.01906338932794</v>
      </c>
      <c r="F25" s="68" t="str">
        <f t="shared" ca="1" si="7"/>
        <v>22Y</v>
      </c>
      <c r="G25" s="19">
        <f t="shared" ca="1" si="3"/>
        <v>1.4851435660069186E-2</v>
      </c>
      <c r="H25" s="20">
        <f t="shared" ca="1" si="10"/>
        <v>0.68747415346942808</v>
      </c>
      <c r="I25" s="19">
        <f t="shared" ca="1" si="8"/>
        <v>4.2816995857396307</v>
      </c>
    </row>
    <row r="26" spans="1:10">
      <c r="A26" s="17">
        <f t="shared" ca="1" si="0"/>
        <v>23</v>
      </c>
      <c r="B26" s="18">
        <f t="shared" ca="1" si="1"/>
        <v>4.5</v>
      </c>
      <c r="C26" s="18">
        <f t="shared" ca="1" si="2"/>
        <v>3.1</v>
      </c>
      <c r="D26" s="19">
        <f t="shared" ca="1" si="5"/>
        <v>97.037944871973565</v>
      </c>
      <c r="E26" s="18">
        <f t="shared" ca="1" si="6"/>
        <v>97.525477408380794</v>
      </c>
      <c r="F26" s="68" t="str">
        <f t="shared" ca="1" si="7"/>
        <v>23Y</v>
      </c>
      <c r="G26" s="19">
        <f t="shared" ca="1" si="3"/>
        <v>1.5833002667895318E-2</v>
      </c>
      <c r="H26" s="20">
        <f t="shared" ca="1" si="10"/>
        <v>0.71872672946183791</v>
      </c>
      <c r="I26" s="19">
        <f t="shared" ca="1" si="8"/>
        <v>4.7521691051576411</v>
      </c>
    </row>
    <row r="27" spans="1:10">
      <c r="A27" s="17">
        <f t="shared" ca="1" si="0"/>
        <v>24</v>
      </c>
      <c r="B27" s="18">
        <f t="shared" ca="1" si="1"/>
        <v>4</v>
      </c>
      <c r="C27" s="18">
        <f t="shared" ca="1" si="2"/>
        <v>2.9</v>
      </c>
      <c r="D27" s="19">
        <f t="shared" ca="1" si="5"/>
        <v>101.25828370151878</v>
      </c>
      <c r="E27" s="18">
        <f t="shared" ca="1" si="6"/>
        <v>98.338829545208327</v>
      </c>
      <c r="F27" s="68" t="str">
        <f t="shared" ca="1" si="7"/>
        <v>24Y</v>
      </c>
      <c r="G27" s="19">
        <f t="shared" ca="1" si="3"/>
        <v>1.6347852416144559E-2</v>
      </c>
      <c r="H27" s="20">
        <f t="shared" ca="1" si="10"/>
        <v>0.74998532967417497</v>
      </c>
      <c r="I27" s="19">
        <f t="shared" ca="1" si="8"/>
        <v>4.9888762809551261</v>
      </c>
    </row>
    <row r="28" spans="1:10">
      <c r="A28" s="17">
        <f t="shared" ca="1" si="0"/>
        <v>25</v>
      </c>
      <c r="B28" s="18">
        <f t="shared" ca="1" si="1"/>
        <v>3.6</v>
      </c>
      <c r="C28" s="18">
        <f t="shared" ca="1" si="2"/>
        <v>2.5</v>
      </c>
      <c r="D28" s="19">
        <f t="shared" ca="1" si="5"/>
        <v>105.4788051427697</v>
      </c>
      <c r="E28" s="18">
        <f t="shared" ca="1" si="6"/>
        <v>98.52144125092947</v>
      </c>
      <c r="F28" s="68" t="str">
        <f t="shared" ca="1" si="7"/>
        <v>25Y</v>
      </c>
      <c r="G28" s="19">
        <f t="shared" ca="1" si="3"/>
        <v>1.7428321196926621E-2</v>
      </c>
      <c r="H28" s="20">
        <f t="shared" ca="1" si="10"/>
        <v>0.7812452824286974</v>
      </c>
      <c r="I28" s="19">
        <f t="shared" ca="1" si="8"/>
        <v>4.8854978956508113</v>
      </c>
    </row>
    <row r="29" spans="1:10">
      <c r="A29" s="17">
        <f t="shared" ca="1" si="0"/>
        <v>26</v>
      </c>
      <c r="B29" s="18">
        <f t="shared" ca="1" si="1"/>
        <v>3</v>
      </c>
      <c r="C29" s="18">
        <f t="shared" ca="1" si="2"/>
        <v>2</v>
      </c>
      <c r="D29" s="19">
        <f t="shared" ca="1" si="5"/>
        <v>109.69909856573686</v>
      </c>
      <c r="E29" s="18">
        <f t="shared" ca="1" si="6"/>
        <v>98.293422967165583</v>
      </c>
      <c r="F29" s="68" t="str">
        <f t="shared" ca="1" si="7"/>
        <v>26Y</v>
      </c>
      <c r="G29" s="19">
        <f t="shared" ca="1" si="3"/>
        <v>1.8879874963915962E-2</v>
      </c>
      <c r="H29" s="20">
        <f t="shared" ca="1" si="10"/>
        <v>0.81250354633010602</v>
      </c>
      <c r="I29" s="19">
        <f t="shared" ca="1" si="8"/>
        <v>4.2278323838464553</v>
      </c>
    </row>
    <row r="30" spans="1:10">
      <c r="A30" s="17">
        <f t="shared" ca="1" si="0"/>
        <v>27</v>
      </c>
      <c r="B30" s="18">
        <f t="shared" ca="1" si="1"/>
        <v>2.5</v>
      </c>
      <c r="C30" s="18">
        <f t="shared" ca="1" si="2"/>
        <v>1.7</v>
      </c>
      <c r="D30" s="19">
        <f t="shared" ca="1" si="5"/>
        <v>113.91940678715983</v>
      </c>
      <c r="E30" s="18">
        <f t="shared" ca="1" si="6"/>
        <v>98.308221422968856</v>
      </c>
      <c r="F30" s="68" t="str">
        <f t="shared" ca="1" si="7"/>
        <v>27Y</v>
      </c>
      <c r="G30" s="19">
        <f t="shared" ca="1" si="3"/>
        <v>1.9808210788335775E-2</v>
      </c>
      <c r="H30" s="20">
        <f t="shared" ca="1" si="10"/>
        <v>0.84376191983859417</v>
      </c>
      <c r="I30" s="19">
        <f t="shared" ca="1" si="8"/>
        <v>3.7867929833750837</v>
      </c>
    </row>
    <row r="31" spans="1:10">
      <c r="A31" s="17">
        <f t="shared" ca="1" si="0"/>
        <v>28</v>
      </c>
      <c r="B31" s="18">
        <f t="shared" ca="1" si="1"/>
        <v>2</v>
      </c>
      <c r="C31" s="18">
        <f t="shared" ca="1" si="2"/>
        <v>1.2</v>
      </c>
      <c r="D31" s="19">
        <f t="shared" ca="1" si="5"/>
        <v>118.13967465852625</v>
      </c>
      <c r="E31" s="18">
        <f t="shared" ca="1" si="6"/>
        <v>98.26787136641785</v>
      </c>
      <c r="F31" s="68" t="str">
        <f t="shared" ca="1" si="7"/>
        <v>28Y</v>
      </c>
      <c r="G31" s="19">
        <f t="shared" ca="1" si="3"/>
        <v>2.145797858078374E-2</v>
      </c>
      <c r="H31" s="20">
        <f t="shared" ca="1" si="10"/>
        <v>0.87501999448807199</v>
      </c>
      <c r="I31" s="19">
        <f t="shared" ca="1" si="8"/>
        <v>2.8356957211326765</v>
      </c>
    </row>
    <row r="32" spans="1:10">
      <c r="A32" s="17">
        <f t="shared" ca="1" si="0"/>
        <v>29</v>
      </c>
      <c r="B32" s="18">
        <f t="shared" ca="1" si="1"/>
        <v>1.4</v>
      </c>
      <c r="C32" s="18">
        <f t="shared" ca="1" si="2"/>
        <v>0.8</v>
      </c>
      <c r="D32" s="19">
        <f t="shared" ca="1" si="5"/>
        <v>122.35689876512573</v>
      </c>
      <c r="E32" s="18">
        <f t="shared" ca="1" si="6"/>
        <v>95.224106599488863</v>
      </c>
      <c r="F32" s="68" t="str">
        <f t="shared" ca="1" si="7"/>
        <v>29Y</v>
      </c>
      <c r="G32" s="19">
        <f t="shared" ca="1" si="3"/>
        <v>2.2876187857760737E-2</v>
      </c>
      <c r="H32" s="20">
        <f t="shared" ca="1" si="10"/>
        <v>0.90625552501731843</v>
      </c>
      <c r="I32" s="19">
        <f t="shared" ca="1" si="8"/>
        <v>2.2428805061751005</v>
      </c>
    </row>
    <row r="33" spans="1:9">
      <c r="A33" s="17">
        <f t="shared" ca="1" si="0"/>
        <v>30</v>
      </c>
      <c r="B33" s="18">
        <f t="shared" ca="1" si="1"/>
        <v>0.9</v>
      </c>
      <c r="C33" s="18">
        <f t="shared" ca="1" si="2"/>
        <v>0.5</v>
      </c>
      <c r="D33" s="19">
        <f t="shared" ca="1" si="5"/>
        <v>126.57683685426588</v>
      </c>
      <c r="E33" s="18">
        <f t="shared" ca="1" si="6"/>
        <v>97.938089140149614</v>
      </c>
      <c r="F33" s="68" t="str">
        <f t="shared" ca="1" si="7"/>
        <v>30Y</v>
      </c>
      <c r="G33" s="19">
        <f t="shared" ca="1" si="3"/>
        <v>2.4001025006052529E-2</v>
      </c>
      <c r="H33" s="20">
        <f t="shared" ca="1" si="10"/>
        <v>0.93751115708311172</v>
      </c>
      <c r="I33" s="19">
        <f t="shared" ca="1" si="8"/>
        <v>1.8396510785421816</v>
      </c>
    </row>
    <row r="34" spans="1:9">
      <c r="A34" s="17">
        <f t="shared" ca="1" si="0"/>
        <v>31</v>
      </c>
      <c r="B34" s="18">
        <f t="shared" ca="1" si="1"/>
        <v>0.6</v>
      </c>
      <c r="C34" s="18">
        <f t="shared" ca="1" si="2"/>
        <v>0</v>
      </c>
      <c r="D34" s="19">
        <f t="shared" ca="1" si="5"/>
        <v>130.79707611262248</v>
      </c>
      <c r="E34" s="18">
        <f t="shared" ca="1" si="6"/>
        <v>98.239258356590256</v>
      </c>
      <c r="F34" s="68" t="str">
        <f t="shared" ca="1" si="7"/>
        <v>1Y</v>
      </c>
      <c r="G34" s="19">
        <f t="shared" ca="1" si="3"/>
        <v>2.5999999999999999E-2</v>
      </c>
      <c r="H34" s="20">
        <f t="shared" ca="1" si="10"/>
        <v>0.96876901980585306</v>
      </c>
      <c r="I34" s="19">
        <f t="shared" ca="1" si="8"/>
        <v>0.3199772967016874</v>
      </c>
    </row>
    <row r="35" spans="1:9">
      <c r="A35" s="17">
        <f t="shared" ca="1" si="0"/>
        <v>32</v>
      </c>
      <c r="B35" s="18">
        <f t="shared" ca="1" si="1"/>
        <v>0</v>
      </c>
      <c r="C35" s="18">
        <f t="shared" ca="1" si="2"/>
        <v>0</v>
      </c>
      <c r="D35" s="19">
        <f t="shared" ca="1" si="5"/>
        <v>135.01368586170827</v>
      </c>
      <c r="E35" s="18">
        <f t="shared" ca="1" si="6"/>
        <v>94.609749085797958</v>
      </c>
      <c r="F35" s="68" t="str">
        <f t="shared" ca="1" si="7"/>
        <v>2Y</v>
      </c>
      <c r="G35" s="19">
        <f t="shared" ca="1" si="3"/>
        <v>2.5999999999999999E-2</v>
      </c>
      <c r="H35" s="20">
        <f t="shared" ca="1" si="10"/>
        <v>1</v>
      </c>
      <c r="I35" s="19">
        <f t="shared" ca="1" si="8"/>
        <v>0.32274180625307752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9" sqref="O19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46B6E765-F7D0-4CE8-8A1B-CEBFE2F95B92}"/>
</file>

<file path=customXml/itemProps2.xml><?xml version="1.0" encoding="utf-8"?>
<ds:datastoreItem xmlns:ds="http://schemas.openxmlformats.org/officeDocument/2006/customXml" ds:itemID="{0D14729D-DBDB-4318-864C-2DAFA407A920}"/>
</file>

<file path=customXml/itemProps3.xml><?xml version="1.0" encoding="utf-8"?>
<ds:datastoreItem xmlns:ds="http://schemas.openxmlformats.org/officeDocument/2006/customXml" ds:itemID="{1101D5EF-97A4-4FE2-8ECE-6341AE0AB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UT-GOM2-1-H005-7FB-4</vt:lpstr>
      <vt:lpstr>UT-GOM2-1-H005-7FB-4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