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Pressure Core Center\Quantitative Degassing\H005-6FB-2_21.5-41.5\Log sheet data\"/>
    </mc:Choice>
  </mc:AlternateContent>
  <bookViews>
    <workbookView xWindow="0" yWindow="0" windowWidth="14380" windowHeight="6690" tabRatio="623"/>
  </bookViews>
  <sheets>
    <sheet name="UT-GOM2-1-H005-6FB-2 21.5-41.5" sheetId="27" r:id="rId1"/>
    <sheet name="graph-sampling" sheetId="32" r:id="rId2"/>
    <sheet name="graph-sampling (2)" sheetId="33" r:id="rId3"/>
    <sheet name="graph" sheetId="31" r:id="rId4"/>
  </sheets>
  <definedNames>
    <definedName name="_xlnm.Print_Area" localSheetId="0">'UT-GOM2-1-H005-6FB-2 21.5-41.5'!#REF!</definedName>
  </definedNames>
  <calcPr calcId="162913"/>
  <fileRecoveryPr repairLoad="1"/>
</workbook>
</file>

<file path=xl/calcChain.xml><?xml version="1.0" encoding="utf-8"?>
<calcChain xmlns="http://schemas.openxmlformats.org/spreadsheetml/2006/main">
  <c r="AF79" i="27" l="1"/>
  <c r="AF75" i="27"/>
  <c r="AF71" i="27"/>
  <c r="AF69" i="27"/>
  <c r="AF81" i="27" s="1"/>
  <c r="AF67" i="27"/>
  <c r="AF63" i="27"/>
  <c r="AE79" i="27"/>
  <c r="AE75" i="27"/>
  <c r="AE71" i="27"/>
  <c r="AE69" i="27"/>
  <c r="AE67" i="27"/>
  <c r="AE63" i="27"/>
  <c r="AE81" i="27" s="1"/>
  <c r="AE84" i="27" s="1"/>
  <c r="O62" i="27" l="1"/>
  <c r="Q62" i="27"/>
  <c r="S62" i="27"/>
  <c r="X62" i="27"/>
  <c r="AB62" i="27"/>
  <c r="O63" i="27"/>
  <c r="Q63" i="27"/>
  <c r="S63" i="27"/>
  <c r="X63" i="27"/>
  <c r="AB63" i="27"/>
  <c r="O64" i="27"/>
  <c r="Q64" i="27"/>
  <c r="S64" i="27"/>
  <c r="X64" i="27"/>
  <c r="AB64" i="27"/>
  <c r="O65" i="27"/>
  <c r="Q65" i="27"/>
  <c r="S65" i="27"/>
  <c r="X65" i="27"/>
  <c r="AB65" i="27"/>
  <c r="O66" i="27"/>
  <c r="Q66" i="27"/>
  <c r="S66" i="27"/>
  <c r="X66" i="27"/>
  <c r="AB66" i="27"/>
  <c r="O67" i="27"/>
  <c r="Q67" i="27"/>
  <c r="S67" i="27"/>
  <c r="X67" i="27"/>
  <c r="AB67" i="27"/>
  <c r="O68" i="27"/>
  <c r="Q68" i="27"/>
  <c r="S68" i="27"/>
  <c r="X68" i="27"/>
  <c r="AB68" i="27"/>
  <c r="O69" i="27"/>
  <c r="Q69" i="27"/>
  <c r="S69" i="27"/>
  <c r="X69" i="27"/>
  <c r="AB69" i="27"/>
  <c r="O70" i="27"/>
  <c r="Q70" i="27"/>
  <c r="S70" i="27"/>
  <c r="X70" i="27"/>
  <c r="AB70" i="27"/>
  <c r="O71" i="27"/>
  <c r="Q71" i="27"/>
  <c r="S71" i="27"/>
  <c r="X71" i="27"/>
  <c r="AB71" i="27"/>
  <c r="O72" i="27"/>
  <c r="Q72" i="27"/>
  <c r="S72" i="27"/>
  <c r="X72" i="27"/>
  <c r="AB72" i="27"/>
  <c r="O73" i="27"/>
  <c r="Q73" i="27"/>
  <c r="S73" i="27"/>
  <c r="X73" i="27"/>
  <c r="AB73" i="27"/>
  <c r="O74" i="27"/>
  <c r="Q74" i="27"/>
  <c r="S74" i="27"/>
  <c r="X74" i="27"/>
  <c r="AB74" i="27"/>
  <c r="O75" i="27"/>
  <c r="Q75" i="27"/>
  <c r="S75" i="27"/>
  <c r="X75" i="27"/>
  <c r="AB75" i="27"/>
  <c r="O76" i="27"/>
  <c r="Q76" i="27"/>
  <c r="S76" i="27"/>
  <c r="X76" i="27"/>
  <c r="AB76" i="27"/>
  <c r="O77" i="27"/>
  <c r="Q77" i="27"/>
  <c r="S77" i="27"/>
  <c r="X77" i="27"/>
  <c r="AB77" i="27"/>
  <c r="O78" i="27"/>
  <c r="Q78" i="27"/>
  <c r="S78" i="27"/>
  <c r="X78" i="27"/>
  <c r="AB78" i="27"/>
  <c r="O79" i="27"/>
  <c r="Q79" i="27"/>
  <c r="S79" i="27"/>
  <c r="X79" i="27"/>
  <c r="AB79" i="27"/>
  <c r="O80" i="27"/>
  <c r="Q80" i="27"/>
  <c r="S80" i="27"/>
  <c r="X80" i="27"/>
  <c r="AB80" i="27"/>
  <c r="O81" i="27"/>
  <c r="Q81" i="27"/>
  <c r="S81" i="27"/>
  <c r="X81" i="27"/>
  <c r="AB81" i="27"/>
  <c r="O82" i="27"/>
  <c r="Q82" i="27"/>
  <c r="S82" i="27"/>
  <c r="X82" i="27"/>
  <c r="AB82" i="27"/>
  <c r="O83" i="27"/>
  <c r="Q83" i="27"/>
  <c r="S83" i="27"/>
  <c r="X83" i="27"/>
  <c r="AB83" i="27"/>
  <c r="O84" i="27"/>
  <c r="Q84" i="27"/>
  <c r="S84" i="27"/>
  <c r="X84" i="27"/>
  <c r="AB84" i="27"/>
  <c r="O85" i="27"/>
  <c r="Q85" i="27"/>
  <c r="S85" i="27"/>
  <c r="X85" i="27"/>
  <c r="AB85" i="27"/>
  <c r="O86" i="27"/>
  <c r="Q86" i="27"/>
  <c r="S86" i="27"/>
  <c r="X86" i="27"/>
  <c r="AB86" i="27"/>
  <c r="O87" i="27"/>
  <c r="Q87" i="27"/>
  <c r="S87" i="27"/>
  <c r="X87" i="27"/>
  <c r="AB87" i="27"/>
  <c r="O88" i="27"/>
  <c r="Q88" i="27"/>
  <c r="S88" i="27"/>
  <c r="X88" i="27"/>
  <c r="AB88" i="27"/>
  <c r="O89" i="27"/>
  <c r="Q89" i="27"/>
  <c r="S89" i="27"/>
  <c r="X89" i="27"/>
  <c r="AB89" i="27"/>
  <c r="O90" i="27"/>
  <c r="Q90" i="27"/>
  <c r="S90" i="27"/>
  <c r="X90" i="27"/>
  <c r="AB90" i="27"/>
  <c r="O91" i="27"/>
  <c r="Q91" i="27"/>
  <c r="S91" i="27"/>
  <c r="X91" i="27"/>
  <c r="AB91" i="27"/>
  <c r="O92" i="27"/>
  <c r="Q92" i="27"/>
  <c r="S92" i="27"/>
  <c r="X92" i="27"/>
  <c r="AB92" i="27"/>
  <c r="O93" i="27"/>
  <c r="Q93" i="27"/>
  <c r="S93" i="27"/>
  <c r="X93" i="27"/>
  <c r="AB93" i="27"/>
  <c r="O94" i="27"/>
  <c r="Q94" i="27"/>
  <c r="S94" i="27"/>
  <c r="X94" i="27"/>
  <c r="AB94" i="27"/>
  <c r="O95" i="27"/>
  <c r="Q95" i="27"/>
  <c r="S95" i="27"/>
  <c r="U95" i="27" s="1"/>
  <c r="X95" i="27"/>
  <c r="AB95" i="27"/>
  <c r="O96" i="27"/>
  <c r="Q96" i="27"/>
  <c r="S96" i="27"/>
  <c r="X96" i="27"/>
  <c r="AB96" i="27"/>
  <c r="U92" i="27" l="1"/>
  <c r="U89" i="27"/>
  <c r="U86" i="27"/>
  <c r="U88" i="27"/>
  <c r="U93" i="27"/>
  <c r="U84" i="27"/>
  <c r="U94" i="27"/>
  <c r="U91" i="27"/>
  <c r="U96" i="27"/>
  <c r="U90" i="27"/>
  <c r="U87" i="27"/>
  <c r="U81" i="27"/>
  <c r="U85" i="27"/>
  <c r="U78" i="27"/>
  <c r="U80" i="27"/>
  <c r="U83" i="27"/>
  <c r="U79" i="27"/>
  <c r="U82" i="27"/>
  <c r="X8" i="27"/>
  <c r="X9" i="27"/>
  <c r="X10" i="27"/>
  <c r="X11" i="27"/>
  <c r="X12" i="27"/>
  <c r="X13" i="27"/>
  <c r="X14" i="27"/>
  <c r="X15" i="27"/>
  <c r="X16" i="27"/>
  <c r="X17" i="27"/>
  <c r="X18" i="27"/>
  <c r="X19" i="27"/>
  <c r="X20" i="27"/>
  <c r="X21" i="27"/>
  <c r="X22" i="27"/>
  <c r="X23" i="27"/>
  <c r="X24" i="27"/>
  <c r="X25" i="27"/>
  <c r="X26" i="27"/>
  <c r="X27" i="27"/>
  <c r="X28" i="27"/>
  <c r="X29" i="27"/>
  <c r="X30" i="27"/>
  <c r="X31" i="27"/>
  <c r="X32" i="27"/>
  <c r="X33" i="27"/>
  <c r="X34" i="27"/>
  <c r="X35" i="27"/>
  <c r="X36" i="27"/>
  <c r="X37" i="27"/>
  <c r="X38" i="27"/>
  <c r="X39" i="27"/>
  <c r="X40" i="27"/>
  <c r="X41" i="27"/>
  <c r="X42" i="27"/>
  <c r="X43" i="27"/>
  <c r="X44" i="27"/>
  <c r="X45" i="27"/>
  <c r="X46" i="27"/>
  <c r="X47" i="27"/>
  <c r="X48" i="27"/>
  <c r="X49" i="27"/>
  <c r="X50" i="27"/>
  <c r="X51" i="27"/>
  <c r="X52" i="27"/>
  <c r="X53" i="27"/>
  <c r="X54" i="27"/>
  <c r="X55" i="27"/>
  <c r="X56" i="27"/>
  <c r="X57" i="27"/>
  <c r="X58" i="27"/>
  <c r="X59" i="27"/>
  <c r="X60" i="27"/>
  <c r="X61" i="27"/>
  <c r="X7" i="27"/>
  <c r="O29" i="27"/>
  <c r="Q29" i="27"/>
  <c r="S29" i="27"/>
  <c r="AB29" i="27"/>
  <c r="O30" i="27"/>
  <c r="Q30" i="27"/>
  <c r="S30" i="27"/>
  <c r="AB30" i="27"/>
  <c r="O31" i="27"/>
  <c r="Q31" i="27"/>
  <c r="S31" i="27"/>
  <c r="AB31" i="27"/>
  <c r="O32" i="27"/>
  <c r="Q32" i="27"/>
  <c r="S32" i="27"/>
  <c r="AB32" i="27"/>
  <c r="O33" i="27"/>
  <c r="Q33" i="27"/>
  <c r="S33" i="27"/>
  <c r="AB33" i="27"/>
  <c r="O34" i="27"/>
  <c r="Q34" i="27"/>
  <c r="S34" i="27"/>
  <c r="AB34" i="27"/>
  <c r="O35" i="27"/>
  <c r="Q35" i="27"/>
  <c r="S35" i="27"/>
  <c r="AB35" i="27"/>
  <c r="O36" i="27"/>
  <c r="Q36" i="27"/>
  <c r="S36" i="27"/>
  <c r="AB36" i="27"/>
  <c r="O37" i="27"/>
  <c r="Q37" i="27"/>
  <c r="S37" i="27"/>
  <c r="AB37" i="27"/>
  <c r="O38" i="27"/>
  <c r="Q38" i="27"/>
  <c r="S38" i="27"/>
  <c r="AB38" i="27"/>
  <c r="O39" i="27"/>
  <c r="Q39" i="27"/>
  <c r="S39" i="27"/>
  <c r="AB39" i="27"/>
  <c r="O40" i="27"/>
  <c r="Q40" i="27"/>
  <c r="S40" i="27"/>
  <c r="AB40" i="27"/>
  <c r="O41" i="27"/>
  <c r="Q41" i="27"/>
  <c r="S41" i="27"/>
  <c r="AB41" i="27"/>
  <c r="O42" i="27"/>
  <c r="Q42" i="27"/>
  <c r="S42" i="27"/>
  <c r="AB42" i="27"/>
  <c r="O43" i="27"/>
  <c r="Q43" i="27"/>
  <c r="S43" i="27"/>
  <c r="AB43" i="27"/>
  <c r="O44" i="27"/>
  <c r="Q44" i="27"/>
  <c r="S44" i="27"/>
  <c r="AB44" i="27"/>
  <c r="O45" i="27"/>
  <c r="Q45" i="27"/>
  <c r="S45" i="27"/>
  <c r="AB45" i="27"/>
  <c r="O46" i="27"/>
  <c r="Q46" i="27"/>
  <c r="S46" i="27"/>
  <c r="AB46" i="27"/>
  <c r="O47" i="27"/>
  <c r="Q47" i="27"/>
  <c r="S47" i="27"/>
  <c r="AB47" i="27"/>
  <c r="O48" i="27"/>
  <c r="Q48" i="27"/>
  <c r="S48" i="27"/>
  <c r="AB48" i="27"/>
  <c r="O49" i="27"/>
  <c r="Q49" i="27"/>
  <c r="S49" i="27"/>
  <c r="AB49" i="27"/>
  <c r="O50" i="27"/>
  <c r="Q50" i="27"/>
  <c r="S50" i="27"/>
  <c r="AB50" i="27"/>
  <c r="O51" i="27"/>
  <c r="Q51" i="27"/>
  <c r="S51" i="27"/>
  <c r="AB51" i="27"/>
  <c r="O52" i="27"/>
  <c r="Q52" i="27"/>
  <c r="S52" i="27"/>
  <c r="AB52" i="27"/>
  <c r="O53" i="27"/>
  <c r="Q53" i="27"/>
  <c r="S53" i="27"/>
  <c r="AB53" i="27"/>
  <c r="O54" i="27"/>
  <c r="Q54" i="27"/>
  <c r="S54" i="27"/>
  <c r="AB54" i="27"/>
  <c r="O55" i="27"/>
  <c r="Q55" i="27"/>
  <c r="S55" i="27"/>
  <c r="AB55" i="27"/>
  <c r="O56" i="27"/>
  <c r="Q56" i="27"/>
  <c r="S56" i="27"/>
  <c r="AB56" i="27"/>
  <c r="O57" i="27"/>
  <c r="Q57" i="27"/>
  <c r="S57" i="27"/>
  <c r="AB57" i="27"/>
  <c r="O58" i="27"/>
  <c r="Q58" i="27"/>
  <c r="S58" i="27"/>
  <c r="AB58" i="27"/>
  <c r="O59" i="27"/>
  <c r="Q59" i="27"/>
  <c r="S59" i="27"/>
  <c r="AB59" i="27"/>
  <c r="O60" i="27"/>
  <c r="Q60" i="27"/>
  <c r="S60" i="27"/>
  <c r="AB60" i="27"/>
  <c r="O61" i="27"/>
  <c r="Q61" i="27"/>
  <c r="S61" i="27"/>
  <c r="AB61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6" i="27"/>
  <c r="N2" i="27"/>
  <c r="W6" i="27"/>
  <c r="W7" i="27" s="1"/>
  <c r="W8" i="27" s="1"/>
  <c r="W9" i="27" s="1"/>
  <c r="A7" i="27"/>
  <c r="A8" i="27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O19" i="27"/>
  <c r="O7" i="27"/>
  <c r="P7" i="27" s="1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O22" i="27"/>
  <c r="O23" i="27"/>
  <c r="O24" i="27"/>
  <c r="O25" i="27"/>
  <c r="O26" i="27"/>
  <c r="O27" i="27"/>
  <c r="O28" i="27"/>
  <c r="S6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S18" i="27"/>
  <c r="Q18" i="27"/>
  <c r="S19" i="27"/>
  <c r="Q19" i="27"/>
  <c r="S20" i="27"/>
  <c r="Q20" i="27"/>
  <c r="S21" i="27"/>
  <c r="Q21" i="27"/>
  <c r="S22" i="27"/>
  <c r="Q22" i="27"/>
  <c r="S23" i="27"/>
  <c r="Q23" i="27"/>
  <c r="S24" i="27"/>
  <c r="Q24" i="27"/>
  <c r="S25" i="27"/>
  <c r="Q25" i="27"/>
  <c r="S26" i="27"/>
  <c r="Q26" i="27"/>
  <c r="S27" i="27"/>
  <c r="Q27" i="27"/>
  <c r="S28" i="27"/>
  <c r="Q28" i="27"/>
  <c r="U77" i="27" l="1"/>
  <c r="R18" i="27"/>
  <c r="R64" i="27"/>
  <c r="R68" i="27"/>
  <c r="R72" i="27"/>
  <c r="R76" i="27"/>
  <c r="R80" i="27"/>
  <c r="R84" i="27"/>
  <c r="R87" i="27"/>
  <c r="R90" i="27"/>
  <c r="R63" i="27"/>
  <c r="R71" i="27"/>
  <c r="R83" i="27"/>
  <c r="R92" i="27"/>
  <c r="R95" i="27"/>
  <c r="R67" i="27"/>
  <c r="R75" i="27"/>
  <c r="R79" i="27"/>
  <c r="R88" i="27"/>
  <c r="R91" i="27"/>
  <c r="R65" i="27"/>
  <c r="R69" i="27"/>
  <c r="R73" i="27"/>
  <c r="R77" i="27"/>
  <c r="R81" i="27"/>
  <c r="R85" i="27"/>
  <c r="R62" i="27"/>
  <c r="R86" i="27"/>
  <c r="R94" i="27"/>
  <c r="R96" i="27"/>
  <c r="R74" i="27"/>
  <c r="R78" i="27"/>
  <c r="R82" i="27"/>
  <c r="R70" i="27"/>
  <c r="R66" i="27"/>
  <c r="R89" i="27"/>
  <c r="R93" i="27"/>
  <c r="U76" i="27"/>
  <c r="R6" i="27"/>
  <c r="P8" i="27"/>
  <c r="P9" i="27" s="1"/>
  <c r="P10" i="27" s="1"/>
  <c r="P11" i="27" s="1"/>
  <c r="P12" i="27" s="1"/>
  <c r="P13" i="27" s="1"/>
  <c r="P14" i="27" s="1"/>
  <c r="P15" i="27" s="1"/>
  <c r="P16" i="27" s="1"/>
  <c r="P17" i="27" s="1"/>
  <c r="P18" i="27" s="1"/>
  <c r="P19" i="27" s="1"/>
  <c r="P20" i="27" s="1"/>
  <c r="P21" i="27" s="1"/>
  <c r="P22" i="27" s="1"/>
  <c r="P23" i="27" s="1"/>
  <c r="P24" i="27" s="1"/>
  <c r="P25" i="27" s="1"/>
  <c r="P26" i="27" s="1"/>
  <c r="P27" i="27" s="1"/>
  <c r="P28" i="27" s="1"/>
  <c r="P29" i="27" s="1"/>
  <c r="P30" i="27" s="1"/>
  <c r="P31" i="27" s="1"/>
  <c r="P32" i="27" s="1"/>
  <c r="P33" i="27" s="1"/>
  <c r="P34" i="27" s="1"/>
  <c r="P35" i="27" s="1"/>
  <c r="P36" i="27" s="1"/>
  <c r="P37" i="27" s="1"/>
  <c r="P38" i="27" s="1"/>
  <c r="P39" i="27" s="1"/>
  <c r="P40" i="27" s="1"/>
  <c r="P41" i="27" s="1"/>
  <c r="P42" i="27" s="1"/>
  <c r="P43" i="27" s="1"/>
  <c r="P44" i="27" s="1"/>
  <c r="P45" i="27" s="1"/>
  <c r="P46" i="27" s="1"/>
  <c r="P47" i="27" s="1"/>
  <c r="P48" i="27" s="1"/>
  <c r="P49" i="27" s="1"/>
  <c r="P50" i="27" s="1"/>
  <c r="P51" i="27" s="1"/>
  <c r="P52" i="27" s="1"/>
  <c r="P53" i="27" s="1"/>
  <c r="P54" i="27" s="1"/>
  <c r="P55" i="27" s="1"/>
  <c r="P56" i="27" s="1"/>
  <c r="P57" i="27" s="1"/>
  <c r="P58" i="27" s="1"/>
  <c r="P59" i="27" s="1"/>
  <c r="P60" i="27" s="1"/>
  <c r="P61" i="27" s="1"/>
  <c r="P62" i="27" s="1"/>
  <c r="P63" i="27" s="1"/>
  <c r="P64" i="27" s="1"/>
  <c r="P65" i="27" s="1"/>
  <c r="P66" i="27" s="1"/>
  <c r="P67" i="27" s="1"/>
  <c r="P68" i="27" s="1"/>
  <c r="P69" i="27" s="1"/>
  <c r="P70" i="27" s="1"/>
  <c r="P71" i="27" s="1"/>
  <c r="P72" i="27" s="1"/>
  <c r="P73" i="27" s="1"/>
  <c r="P74" i="27" s="1"/>
  <c r="P75" i="27" s="1"/>
  <c r="P76" i="27" s="1"/>
  <c r="P77" i="27" s="1"/>
  <c r="P78" i="27" s="1"/>
  <c r="P79" i="27" s="1"/>
  <c r="P80" i="27" s="1"/>
  <c r="P81" i="27" s="1"/>
  <c r="P82" i="27" s="1"/>
  <c r="P83" i="27" s="1"/>
  <c r="P84" i="27" s="1"/>
  <c r="P85" i="27" s="1"/>
  <c r="P86" i="27" s="1"/>
  <c r="P87" i="27" s="1"/>
  <c r="P88" i="27" s="1"/>
  <c r="P89" i="27" s="1"/>
  <c r="P90" i="27" s="1"/>
  <c r="P91" i="27" s="1"/>
  <c r="P92" i="27" s="1"/>
  <c r="P93" i="27" s="1"/>
  <c r="P94" i="27" s="1"/>
  <c r="P95" i="27" s="1"/>
  <c r="P96" i="27" s="1"/>
  <c r="R34" i="27"/>
  <c r="R35" i="27"/>
  <c r="R29" i="27"/>
  <c r="R32" i="27"/>
  <c r="R33" i="27"/>
  <c r="R27" i="27"/>
  <c r="R36" i="27"/>
  <c r="R55" i="27"/>
  <c r="R11" i="27"/>
  <c r="R39" i="27"/>
  <c r="R16" i="27"/>
  <c r="R49" i="27"/>
  <c r="R17" i="27"/>
  <c r="R60" i="27"/>
  <c r="R25" i="27"/>
  <c r="R50" i="27"/>
  <c r="R57" i="27"/>
  <c r="R41" i="27"/>
  <c r="R61" i="27"/>
  <c r="R52" i="27"/>
  <c r="R54" i="27"/>
  <c r="R14" i="27"/>
  <c r="R19" i="27"/>
  <c r="R20" i="27"/>
  <c r="R12" i="27"/>
  <c r="R26" i="27"/>
  <c r="R21" i="27"/>
  <c r="R43" i="27"/>
  <c r="R40" i="27"/>
  <c r="R23" i="27"/>
  <c r="R46" i="27"/>
  <c r="R51" i="27"/>
  <c r="R47" i="27"/>
  <c r="R31" i="27"/>
  <c r="R7" i="27"/>
  <c r="R24" i="27"/>
  <c r="R56" i="27"/>
  <c r="R42" i="27"/>
  <c r="R30" i="27"/>
  <c r="R22" i="27"/>
  <c r="R8" i="27"/>
  <c r="R9" i="27"/>
  <c r="R37" i="27"/>
  <c r="R45" i="27"/>
  <c r="R58" i="27"/>
  <c r="R15" i="27"/>
  <c r="R13" i="27"/>
  <c r="R48" i="27"/>
  <c r="R53" i="27"/>
  <c r="R10" i="27"/>
  <c r="R28" i="27"/>
  <c r="R59" i="27"/>
  <c r="R44" i="27"/>
  <c r="R38" i="27"/>
  <c r="W10" i="27"/>
  <c r="U75" i="27" l="1"/>
  <c r="W11" i="27"/>
  <c r="U74" i="27" l="1"/>
  <c r="W12" i="27"/>
  <c r="U73" i="27" l="1"/>
  <c r="W13" i="27"/>
  <c r="U72" i="27" l="1"/>
  <c r="W14" i="27"/>
  <c r="U71" i="27" l="1"/>
  <c r="W15" i="27"/>
  <c r="U70" i="27" l="1"/>
  <c r="W16" i="27"/>
  <c r="U69" i="27" l="1"/>
  <c r="W17" i="27"/>
  <c r="U68" i="27" l="1"/>
  <c r="W18" i="27"/>
  <c r="U67" i="27" l="1"/>
  <c r="W19" i="27"/>
  <c r="U66" i="27" l="1"/>
  <c r="W20" i="27"/>
  <c r="U65" i="27" l="1"/>
  <c r="W21" i="27"/>
  <c r="U64" i="27" l="1"/>
  <c r="W22" i="27"/>
  <c r="U62" i="27" l="1"/>
  <c r="U63" i="27"/>
  <c r="W23" i="27"/>
  <c r="W24" i="27" l="1"/>
  <c r="W25" i="27" l="1"/>
  <c r="W26" i="27" l="1"/>
  <c r="U61" i="27" l="1"/>
  <c r="W27" i="27"/>
  <c r="W28" i="27" l="1"/>
  <c r="U60" i="27"/>
  <c r="U59" i="27" l="1"/>
  <c r="W29" i="27"/>
  <c r="U58" i="27" l="1"/>
  <c r="W30" i="27"/>
  <c r="U57" i="27" l="1"/>
  <c r="W31" i="27"/>
  <c r="U56" i="27" l="1"/>
  <c r="W32" i="27"/>
  <c r="W33" i="27" l="1"/>
  <c r="U55" i="27"/>
  <c r="U54" i="27" l="1"/>
  <c r="W34" i="27"/>
  <c r="U53" i="27" l="1"/>
  <c r="W35" i="27"/>
  <c r="W36" i="27" l="1"/>
  <c r="U52" i="27"/>
  <c r="U51" i="27" l="1"/>
  <c r="W37" i="27"/>
  <c r="U50" i="27" l="1"/>
  <c r="W38" i="27"/>
  <c r="U49" i="27" l="1"/>
  <c r="W39" i="27"/>
  <c r="U48" i="27" l="1"/>
  <c r="W40" i="27"/>
  <c r="W41" i="27" l="1"/>
  <c r="U47" i="27"/>
  <c r="U46" i="27" l="1"/>
  <c r="W42" i="27"/>
  <c r="U45" i="27" l="1"/>
  <c r="W43" i="27"/>
  <c r="W44" i="27" l="1"/>
  <c r="U44" i="27"/>
  <c r="Y43" i="27"/>
  <c r="U43" i="27" l="1"/>
  <c r="W45" i="27"/>
  <c r="Y44" i="27"/>
  <c r="U42" i="27" l="1"/>
  <c r="Y42" i="27"/>
  <c r="W46" i="27"/>
  <c r="Y45" i="27"/>
  <c r="W47" i="27" l="1"/>
  <c r="Y46" i="27"/>
  <c r="U41" i="27"/>
  <c r="Y41" i="27"/>
  <c r="Y47" i="27" l="1"/>
  <c r="W48" i="27"/>
  <c r="U40" i="27"/>
  <c r="Y40" i="27"/>
  <c r="U39" i="27" l="1"/>
  <c r="Y39" i="27"/>
  <c r="Y48" i="27"/>
  <c r="W49" i="27"/>
  <c r="U38" i="27" l="1"/>
  <c r="Y38" i="27"/>
  <c r="W50" i="27"/>
  <c r="Y49" i="27"/>
  <c r="U37" i="27" l="1"/>
  <c r="Y37" i="27"/>
  <c r="Y50" i="27"/>
  <c r="W51" i="27"/>
  <c r="U36" i="27" l="1"/>
  <c r="Y36" i="27"/>
  <c r="Y51" i="27"/>
  <c r="W52" i="27"/>
  <c r="W53" i="27" l="1"/>
  <c r="Y52" i="27"/>
  <c r="U35" i="27"/>
  <c r="Y35" i="27"/>
  <c r="U34" i="27" l="1"/>
  <c r="Y34" i="27"/>
  <c r="W54" i="27"/>
  <c r="Y53" i="27"/>
  <c r="W55" i="27" l="1"/>
  <c r="Y54" i="27"/>
  <c r="U33" i="27"/>
  <c r="Y33" i="27"/>
  <c r="U32" i="27" l="1"/>
  <c r="Y32" i="27"/>
  <c r="Y55" i="27"/>
  <c r="W56" i="27"/>
  <c r="Y56" i="27" l="1"/>
  <c r="W57" i="27"/>
  <c r="U31" i="27"/>
  <c r="Y31" i="27"/>
  <c r="W58" i="27" l="1"/>
  <c r="Y57" i="27"/>
  <c r="U30" i="27"/>
  <c r="Y30" i="27"/>
  <c r="U29" i="27" l="1"/>
  <c r="Y29" i="27"/>
  <c r="Y58" i="27"/>
  <c r="W59" i="27"/>
  <c r="Y59" i="27" l="1"/>
  <c r="W60" i="27"/>
  <c r="U28" i="27"/>
  <c r="Y28" i="27"/>
  <c r="W61" i="27" l="1"/>
  <c r="Y60" i="27"/>
  <c r="U27" i="27"/>
  <c r="Y27" i="27"/>
  <c r="W62" i="27" l="1"/>
  <c r="Y62" i="27" s="1"/>
  <c r="U26" i="27"/>
  <c r="Y26" i="27"/>
  <c r="Y61" i="27"/>
  <c r="W63" i="27" l="1"/>
  <c r="Y63" i="27" s="1"/>
  <c r="U25" i="27"/>
  <c r="Y25" i="27"/>
  <c r="W64" i="27" l="1"/>
  <c r="Y64" i="27" s="1"/>
  <c r="U24" i="27"/>
  <c r="Y24" i="27"/>
  <c r="W65" i="27" l="1"/>
  <c r="W66" i="27"/>
  <c r="Y65" i="27"/>
  <c r="U23" i="27"/>
  <c r="Y23" i="27"/>
  <c r="W67" i="27" l="1"/>
  <c r="Y66" i="27"/>
  <c r="U22" i="27"/>
  <c r="Y22" i="27"/>
  <c r="Y67" i="27" l="1"/>
  <c r="W68" i="27"/>
  <c r="U21" i="27"/>
  <c r="Y21" i="27"/>
  <c r="Y68" i="27" l="1"/>
  <c r="W69" i="27"/>
  <c r="U20" i="27"/>
  <c r="Y20" i="27"/>
  <c r="W70" i="27" l="1"/>
  <c r="Y69" i="27"/>
  <c r="U19" i="27"/>
  <c r="Y19" i="27"/>
  <c r="W71" i="27" l="1"/>
  <c r="Y70" i="27"/>
  <c r="U18" i="27"/>
  <c r="Y18" i="27"/>
  <c r="Y71" i="27" l="1"/>
  <c r="W72" i="27"/>
  <c r="U17" i="27"/>
  <c r="Y17" i="27"/>
  <c r="Y72" i="27" l="1"/>
  <c r="W73" i="27"/>
  <c r="U16" i="27"/>
  <c r="Y16" i="27"/>
  <c r="W74" i="27" l="1"/>
  <c r="Y73" i="27"/>
  <c r="U15" i="27"/>
  <c r="Y15" i="27"/>
  <c r="Y74" i="27" l="1"/>
  <c r="W75" i="27"/>
  <c r="U14" i="27"/>
  <c r="Y14" i="27"/>
  <c r="Y75" i="27" l="1"/>
  <c r="W76" i="27"/>
  <c r="U13" i="27"/>
  <c r="Y13" i="27"/>
  <c r="Y76" i="27" l="1"/>
  <c r="W77" i="27"/>
  <c r="U12" i="27"/>
  <c r="Y12" i="27"/>
  <c r="W78" i="27" l="1"/>
  <c r="Y77" i="27"/>
  <c r="U11" i="27"/>
  <c r="Y11" i="27"/>
  <c r="W79" i="27" l="1"/>
  <c r="Y78" i="27"/>
  <c r="U10" i="27"/>
  <c r="Y10" i="27"/>
  <c r="Y79" i="27" l="1"/>
  <c r="W80" i="27"/>
  <c r="U9" i="27"/>
  <c r="Y9" i="27"/>
  <c r="W81" i="27" l="1"/>
  <c r="Y80" i="27"/>
  <c r="U8" i="27"/>
  <c r="Y8" i="27"/>
  <c r="W82" i="27" l="1"/>
  <c r="Y81" i="27"/>
  <c r="Y7" i="27"/>
  <c r="U7" i="27"/>
  <c r="Y82" i="27" l="1"/>
  <c r="W83" i="27"/>
  <c r="U6" i="27"/>
  <c r="V6" i="27" s="1"/>
  <c r="Y6" i="27"/>
  <c r="Y83" i="27" l="1"/>
  <c r="W84" i="27"/>
  <c r="Z6" i="27"/>
  <c r="V7" i="27"/>
  <c r="W85" i="27" l="1"/>
  <c r="Y84" i="27"/>
  <c r="V8" i="27"/>
  <c r="Z7" i="27"/>
  <c r="W86" i="27" l="1"/>
  <c r="Y85" i="27"/>
  <c r="Z8" i="27"/>
  <c r="V9" i="27"/>
  <c r="Y86" i="27" l="1"/>
  <c r="W87" i="27"/>
  <c r="V10" i="27"/>
  <c r="Z9" i="27"/>
  <c r="W88" i="27" l="1"/>
  <c r="Y87" i="27"/>
  <c r="V11" i="27"/>
  <c r="Z10" i="27"/>
  <c r="W89" i="27" l="1"/>
  <c r="Y88" i="27"/>
  <c r="Z11" i="27"/>
  <c r="V12" i="27"/>
  <c r="Y89" i="27" l="1"/>
  <c r="W90" i="27"/>
  <c r="V13" i="27"/>
  <c r="Z12" i="27"/>
  <c r="W91" i="27" l="1"/>
  <c r="Y90" i="27"/>
  <c r="V14" i="27"/>
  <c r="Z13" i="27"/>
  <c r="W92" i="27" l="1"/>
  <c r="Y91" i="27"/>
  <c r="V15" i="27"/>
  <c r="Z14" i="27"/>
  <c r="Y92" i="27" l="1"/>
  <c r="W93" i="27"/>
  <c r="Z15" i="27"/>
  <c r="V16" i="27"/>
  <c r="W94" i="27" l="1"/>
  <c r="Y93" i="27"/>
  <c r="V17" i="27"/>
  <c r="Z16" i="27"/>
  <c r="Y94" i="27" l="1"/>
  <c r="W95" i="27"/>
  <c r="Z17" i="27"/>
  <c r="V18" i="27"/>
  <c r="Y95" i="27" l="1"/>
  <c r="W96" i="27"/>
  <c r="Z18" i="27"/>
  <c r="V19" i="27"/>
  <c r="Y96" i="27" l="1"/>
  <c r="Z19" i="27"/>
  <c r="V20" i="27"/>
  <c r="V21" i="27" l="1"/>
  <c r="Z20" i="27"/>
  <c r="V22" i="27" l="1"/>
  <c r="Z21" i="27"/>
  <c r="V23" i="27" l="1"/>
  <c r="Z22" i="27"/>
  <c r="Z23" i="27" l="1"/>
  <c r="V24" i="27"/>
  <c r="Z24" i="27" l="1"/>
  <c r="V25" i="27"/>
  <c r="V26" i="27" l="1"/>
  <c r="Z25" i="27"/>
  <c r="Z26" i="27" l="1"/>
  <c r="V27" i="27"/>
  <c r="V28" i="27" l="1"/>
  <c r="Z27" i="27"/>
  <c r="Z28" i="27" l="1"/>
  <c r="V29" i="27"/>
  <c r="V30" i="27" l="1"/>
  <c r="Z29" i="27"/>
  <c r="Z30" i="27" l="1"/>
  <c r="V31" i="27"/>
  <c r="Z31" i="27" l="1"/>
  <c r="V32" i="27"/>
  <c r="Z32" i="27" l="1"/>
  <c r="V33" i="27"/>
  <c r="Z33" i="27" l="1"/>
  <c r="V34" i="27"/>
  <c r="V35" i="27" l="1"/>
  <c r="Z34" i="27"/>
  <c r="V36" i="27" l="1"/>
  <c r="Z35" i="27"/>
  <c r="V37" i="27" l="1"/>
  <c r="Z36" i="27"/>
  <c r="Z37" i="27" l="1"/>
  <c r="V38" i="27"/>
  <c r="V39" i="27" l="1"/>
  <c r="Z38" i="27"/>
  <c r="V40" i="27" l="1"/>
  <c r="Z39" i="27"/>
  <c r="V41" i="27" l="1"/>
  <c r="Z40" i="27"/>
  <c r="Z41" i="27" l="1"/>
  <c r="V42" i="27"/>
  <c r="V43" i="27" l="1"/>
  <c r="Z42" i="27"/>
  <c r="Z43" i="27" l="1"/>
  <c r="V44" i="27"/>
  <c r="V45" i="27" l="1"/>
  <c r="Z44" i="27"/>
  <c r="Z45" i="27" l="1"/>
  <c r="V46" i="27"/>
  <c r="V47" i="27" l="1"/>
  <c r="Z46" i="27"/>
  <c r="Z47" i="27" l="1"/>
  <c r="V48" i="27"/>
  <c r="V49" i="27" l="1"/>
  <c r="Z48" i="27"/>
  <c r="Z49" i="27" l="1"/>
  <c r="V50" i="27"/>
  <c r="V51" i="27" l="1"/>
  <c r="Z50" i="27"/>
  <c r="V52" i="27" l="1"/>
  <c r="Z51" i="27"/>
  <c r="V53" i="27" l="1"/>
  <c r="Z52" i="27"/>
  <c r="Z53" i="27" l="1"/>
  <c r="V54" i="27"/>
  <c r="V55" i="27" l="1"/>
  <c r="Z54" i="27"/>
  <c r="V56" i="27" l="1"/>
  <c r="Z55" i="27"/>
  <c r="V57" i="27" l="1"/>
  <c r="Z56" i="27"/>
  <c r="Z57" i="27" l="1"/>
  <c r="V58" i="27"/>
  <c r="V59" i="27" l="1"/>
  <c r="Z58" i="27"/>
  <c r="V60" i="27" l="1"/>
  <c r="Z59" i="27"/>
  <c r="V61" i="27" l="1"/>
  <c r="V62" i="27" s="1"/>
  <c r="Z60" i="27"/>
  <c r="V63" i="27" l="1"/>
  <c r="Z62" i="27"/>
  <c r="Z61" i="27"/>
  <c r="Z63" i="27" l="1"/>
  <c r="V64" i="27"/>
  <c r="Z64" i="27" l="1"/>
  <c r="V65" i="27"/>
  <c r="V66" i="27" l="1"/>
  <c r="Z65" i="27"/>
  <c r="V67" i="27" l="1"/>
  <c r="Z66" i="27"/>
  <c r="Z67" i="27" l="1"/>
  <c r="V68" i="27"/>
  <c r="Z68" i="27" l="1"/>
  <c r="V69" i="27"/>
  <c r="V70" i="27" l="1"/>
  <c r="Z69" i="27"/>
  <c r="V71" i="27" l="1"/>
  <c r="Z70" i="27"/>
  <c r="Z71" i="27" l="1"/>
  <c r="V72" i="27"/>
  <c r="Z72" i="27" l="1"/>
  <c r="V73" i="27"/>
  <c r="V74" i="27" l="1"/>
  <c r="Z73" i="27"/>
  <c r="V75" i="27" l="1"/>
  <c r="Z74" i="27"/>
  <c r="Z75" i="27" l="1"/>
  <c r="V76" i="27"/>
  <c r="Z76" i="27" l="1"/>
  <c r="V77" i="27"/>
  <c r="V78" i="27" l="1"/>
  <c r="Z77" i="27"/>
  <c r="V79" i="27" l="1"/>
  <c r="Z78" i="27"/>
  <c r="Z79" i="27" l="1"/>
  <c r="V80" i="27"/>
  <c r="Z80" i="27" l="1"/>
  <c r="V81" i="27"/>
  <c r="V82" i="27" l="1"/>
  <c r="Z81" i="27"/>
  <c r="V83" i="27" l="1"/>
  <c r="Z82" i="27"/>
  <c r="Z83" i="27" l="1"/>
  <c r="V84" i="27"/>
  <c r="Z84" i="27" l="1"/>
  <c r="V85" i="27"/>
  <c r="Z85" i="27" l="1"/>
  <c r="V86" i="27"/>
  <c r="Z86" i="27" l="1"/>
  <c r="V87" i="27"/>
  <c r="V88" i="27" l="1"/>
  <c r="Z87" i="27"/>
  <c r="Z88" i="27" l="1"/>
  <c r="V89" i="27"/>
  <c r="Z89" i="27" l="1"/>
  <c r="V90" i="27"/>
  <c r="V91" i="27" l="1"/>
  <c r="Z90" i="27"/>
  <c r="V92" i="27" l="1"/>
  <c r="Z91" i="27"/>
  <c r="Z92" i="27" l="1"/>
  <c r="V93" i="27"/>
  <c r="Z93" i="27" l="1"/>
  <c r="V94" i="27"/>
  <c r="V95" i="27" l="1"/>
  <c r="Z94" i="27"/>
  <c r="Z95" i="27" l="1"/>
  <c r="V96" i="27"/>
  <c r="Z96" i="27" s="1"/>
</calcChain>
</file>

<file path=xl/sharedStrings.xml><?xml version="1.0" encoding="utf-8"?>
<sst xmlns="http://schemas.openxmlformats.org/spreadsheetml/2006/main" count="98" uniqueCount="85">
  <si>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</si>
  <si>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</si>
  <si>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</si>
  <si>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</si>
  <si>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</si>
  <si>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</si>
  <si>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</si>
  <si>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</si>
  <si>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</si>
  <si>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</si>
  <si>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</si>
  <si>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</si>
  <si>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</si>
  <si>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</si>
  <si>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</si>
  <si>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</si>
  <si>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</si>
  <si>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</si>
  <si>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</si>
  <si>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</si>
  <si>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</si>
  <si>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</si>
  <si>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</si>
  <si>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</si>
  <si>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</si>
  <si>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</si>
  <si>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</si>
  <si>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</si>
  <si>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</si>
  <si>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</si>
  <si>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</si>
  <si>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</si>
  <si>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</si>
  <si>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</si>
  <si>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</si>
  <si>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</si>
  <si>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</si>
  <si>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</si>
  <si>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</si>
  <si>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</si>
  <si>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Blue</t>
  </si>
  <si>
    <t>UT-GOM2-1-H005-6FB-2 21.5-41.5 cm</t>
  </si>
  <si>
    <t>First pressure rebound indicating dissociation</t>
  </si>
  <si>
    <t>Gas sample (tube #)</t>
  </si>
  <si>
    <t>#1</t>
  </si>
  <si>
    <t>#1 ABC</t>
  </si>
  <si>
    <t>#2</t>
  </si>
  <si>
    <t>#2 ABC</t>
  </si>
  <si>
    <t>#3</t>
  </si>
  <si>
    <t>375 mL @ STP from 10.7 mL @ 35 bar</t>
  </si>
  <si>
    <t>468 mL @ STP from 10.7 mL @ 43.7 bar</t>
  </si>
  <si>
    <t>421 mL @ STP from 10.7 mL @ 39.3 bar</t>
  </si>
  <si>
    <t>#3 ABC</t>
  </si>
  <si>
    <t>Bag sample A</t>
  </si>
  <si>
    <t>#4</t>
  </si>
  <si>
    <t>360 mL @ STP from 10.7 mL @ 33.6 bar</t>
  </si>
  <si>
    <t>#4 ABC</t>
  </si>
  <si>
    <t>Bag sample B</t>
  </si>
  <si>
    <t>#5</t>
  </si>
  <si>
    <t>295 mL @ STP from 10.7 mL @ 27.6 bar</t>
  </si>
  <si>
    <t>#5 ABC</t>
  </si>
  <si>
    <t>Bag sample C</t>
  </si>
  <si>
    <t>#6</t>
  </si>
  <si>
    <t>248 mL @ STP from 10.7 mL @ 23.2 bar</t>
  </si>
  <si>
    <t>#6 ABC</t>
  </si>
  <si>
    <t>Bag sample D</t>
  </si>
  <si>
    <t>#7</t>
  </si>
  <si>
    <t>189 mL @ STP from 10.7 mL @ 17.7 bar</t>
  </si>
  <si>
    <t>#7 ABC</t>
  </si>
  <si>
    <t>Bag samples E and F</t>
  </si>
  <si>
    <t>#8</t>
  </si>
  <si>
    <t>136 mL @ STP from 10.7 mL @ 12.7 bar</t>
  </si>
  <si>
    <t>#8 ABC</t>
  </si>
  <si>
    <t>#9</t>
  </si>
  <si>
    <t>47 mL @ STP from 10.7 mL @ 4.4 bar</t>
  </si>
  <si>
    <t>#9 ABC</t>
  </si>
  <si>
    <t>Bag samples G and H</t>
  </si>
  <si>
    <t>#10</t>
  </si>
  <si>
    <t>#10 ABC</t>
  </si>
  <si>
    <t>Bag sample I</t>
  </si>
  <si>
    <t>#11</t>
  </si>
  <si>
    <t>#11 ABC</t>
  </si>
  <si>
    <t>Bag sample J</t>
  </si>
  <si>
    <t>C1/C2</t>
  </si>
  <si>
    <t>Elapsed time (hr)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</si>
</sst>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000"/>
  </numFmts>
  <fonts count="13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4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3" xfId="0" applyFont="1" applyFill="1" applyBorder="1" applyAlignment="1">
      <alignment horizontal="center" wrapText="1"/>
    </xf>
    <xf numFmtId="1" fontId="10" fillId="0" borderId="0" xfId="0" applyNumberFormat="1" applyFont="1" applyFill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11" fillId="0" borderId="0" xfId="5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vertical="center" wrapText="1"/>
    </xf>
    <xf numFmtId="164" fontId="1" fillId="0" borderId="43" xfId="5" applyNumberFormat="1" applyFont="1" applyFill="1" applyBorder="1" applyAlignment="1">
      <alignment horizontal="center" wrapText="1"/>
    </xf>
    <xf numFmtId="165" fontId="11" fillId="0" borderId="0" xfId="5" applyNumberFormat="1" applyFont="1" applyFill="1" applyAlignment="1">
      <alignment horizontal="center" vertical="center"/>
    </xf>
    <xf numFmtId="20" fontId="8" fillId="0" borderId="34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0" fillId="5" borderId="0" xfId="0" applyFont="1" applyFill="1"/>
    <xf numFmtId="0" fontId="0" fillId="6" borderId="0" xfId="0" applyFill="1"/>
    <xf numFmtId="0" fontId="0" fillId="0" borderId="47" xfId="0" applyFill="1" applyBorder="1"/>
    <xf numFmtId="0" fontId="1" fillId="0" borderId="48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77786488185017588"/>
          <c:h val="0.769292578585156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'UT-GOM2-1-H005-6FB-2 21.5-41.5'!$U$4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0.36239869354838711</c:v>
                </c:pt>
                <c:pt idx="53">
                  <c:v>0.73929333483870963</c:v>
                </c:pt>
                <c:pt idx="54">
                  <c:v>1.1915669043870967</c:v>
                </c:pt>
                <c:pt idx="55">
                  <c:v>1.5491336153548387</c:v>
                </c:pt>
                <c:pt idx="56">
                  <c:v>1.9559865486451613</c:v>
                </c:pt>
                <c:pt idx="57">
                  <c:v>2.3522091202580646</c:v>
                </c:pt>
                <c:pt idx="58">
                  <c:v>2.7001118660645163</c:v>
                </c:pt>
                <c:pt idx="59">
                  <c:v>3.10599840283871</c:v>
                </c:pt>
                <c:pt idx="60">
                  <c:v>3.3910853750967744</c:v>
                </c:pt>
                <c:pt idx="61">
                  <c:v>3.7389881209032261</c:v>
                </c:pt>
                <c:pt idx="62">
                  <c:v>3.9786544569032261</c:v>
                </c:pt>
                <c:pt idx="63">
                  <c:v>4.7807635652903224</c:v>
                </c:pt>
                <c:pt idx="64">
                  <c:v>4.9634125068387096</c:v>
                </c:pt>
                <c:pt idx="65">
                  <c:v>6.0940964307096781</c:v>
                </c:pt>
                <c:pt idx="66">
                  <c:v>6.2255263569032264</c:v>
                </c:pt>
                <c:pt idx="67">
                  <c:v>7.7765927652903235</c:v>
                </c:pt>
                <c:pt idx="68">
                  <c:v>7.8220134015483884</c:v>
                </c:pt>
                <c:pt idx="69">
                  <c:v>8.8753856041290344</c:v>
                </c:pt>
                <c:pt idx="70">
                  <c:v>8.8860159658064539</c:v>
                </c:pt>
                <c:pt idx="71">
                  <c:v>9.0792952690322597</c:v>
                </c:pt>
                <c:pt idx="72">
                  <c:v>9.0899256307096792</c:v>
                </c:pt>
                <c:pt idx="73">
                  <c:v>9.283204933935485</c:v>
                </c:pt>
                <c:pt idx="74">
                  <c:v>9.283204933935485</c:v>
                </c:pt>
                <c:pt idx="75">
                  <c:v>9.283204933935485</c:v>
                </c:pt>
                <c:pt idx="76">
                  <c:v>9.283204933935485</c:v>
                </c:pt>
                <c:pt idx="77">
                  <c:v>9.283204933935485</c:v>
                </c:pt>
                <c:pt idx="78">
                  <c:v>9.283204933935485</c:v>
                </c:pt>
                <c:pt idx="79">
                  <c:v>9.283204933935485</c:v>
                </c:pt>
                <c:pt idx="80">
                  <c:v>9.283204933935485</c:v>
                </c:pt>
                <c:pt idx="81">
                  <c:v>9.283204933935485</c:v>
                </c:pt>
                <c:pt idx="82">
                  <c:v>9.283204933935485</c:v>
                </c:pt>
                <c:pt idx="83">
                  <c:v>9.283204933935485</c:v>
                </c:pt>
                <c:pt idx="84">
                  <c:v>9.283204933935485</c:v>
                </c:pt>
                <c:pt idx="85">
                  <c:v>9.283204933935485</c:v>
                </c:pt>
                <c:pt idx="86">
                  <c:v>9.283204933935485</c:v>
                </c:pt>
                <c:pt idx="87">
                  <c:v>9.283204933935485</c:v>
                </c:pt>
                <c:pt idx="88">
                  <c:v>9.283204933935485</c:v>
                </c:pt>
                <c:pt idx="89">
                  <c:v>9.283204933935485</c:v>
                </c:pt>
                <c:pt idx="90">
                  <c:v>9.283204933935485</c:v>
                </c:pt>
              </c:numCache>
            </c:numRef>
          </c:xVal>
          <c:yVal>
            <c:numRef>
              <c:f>'UT-GOM2-1-H005-6FB-2 21.5-41.5'!$AB$6:$AB$500</c:f>
              <c:numCache>
                <c:formatCode>0.0</c:formatCode>
                <c:ptCount val="495"/>
                <c:pt idx="0">
                  <c:v>19.690000000000001</c:v>
                </c:pt>
                <c:pt idx="1">
                  <c:v>17.91</c:v>
                </c:pt>
                <c:pt idx="2">
                  <c:v>16.809999999999999</c:v>
                </c:pt>
                <c:pt idx="3">
                  <c:v>15.059999999999999</c:v>
                </c:pt>
                <c:pt idx="4">
                  <c:v>13.63</c:v>
                </c:pt>
                <c:pt idx="5">
                  <c:v>12.16</c:v>
                </c:pt>
                <c:pt idx="6">
                  <c:v>11.07</c:v>
                </c:pt>
                <c:pt idx="7">
                  <c:v>9.6</c:v>
                </c:pt>
                <c:pt idx="8">
                  <c:v>8.42</c:v>
                </c:pt>
                <c:pt idx="9">
                  <c:v>7.5400000000000009</c:v>
                </c:pt>
                <c:pt idx="10">
                  <c:v>6.4799999999999995</c:v>
                </c:pt>
                <c:pt idx="11">
                  <c:v>6.2299999999999995</c:v>
                </c:pt>
                <c:pt idx="12">
                  <c:v>6.07</c:v>
                </c:pt>
                <c:pt idx="13">
                  <c:v>5.89</c:v>
                </c:pt>
                <c:pt idx="14">
                  <c:v>5.7299999999999995</c:v>
                </c:pt>
                <c:pt idx="15">
                  <c:v>5.5600000000000005</c:v>
                </c:pt>
                <c:pt idx="16">
                  <c:v>5.39</c:v>
                </c:pt>
                <c:pt idx="17">
                  <c:v>5.2</c:v>
                </c:pt>
                <c:pt idx="18">
                  <c:v>5.01</c:v>
                </c:pt>
                <c:pt idx="19">
                  <c:v>4.8600000000000003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4.75</c:v>
                </c:pt>
                <c:pt idx="23">
                  <c:v>4.75</c:v>
                </c:pt>
                <c:pt idx="24">
                  <c:v>4.7200000000000006</c:v>
                </c:pt>
                <c:pt idx="25">
                  <c:v>4.4799999999999995</c:v>
                </c:pt>
                <c:pt idx="26">
                  <c:v>4.3899999999999997</c:v>
                </c:pt>
                <c:pt idx="27">
                  <c:v>4.3100000000000005</c:v>
                </c:pt>
                <c:pt idx="28">
                  <c:v>4.82</c:v>
                </c:pt>
                <c:pt idx="29">
                  <c:v>4.55</c:v>
                </c:pt>
                <c:pt idx="30">
                  <c:v>4.3899999999999997</c:v>
                </c:pt>
                <c:pt idx="31">
                  <c:v>4.34</c:v>
                </c:pt>
                <c:pt idx="32">
                  <c:v>4.32</c:v>
                </c:pt>
                <c:pt idx="33">
                  <c:v>4.16</c:v>
                </c:pt>
                <c:pt idx="34">
                  <c:v>4.0200000000000005</c:v>
                </c:pt>
                <c:pt idx="35">
                  <c:v>3.88</c:v>
                </c:pt>
                <c:pt idx="36">
                  <c:v>3.94</c:v>
                </c:pt>
                <c:pt idx="37">
                  <c:v>3.79</c:v>
                </c:pt>
                <c:pt idx="38">
                  <c:v>3.34</c:v>
                </c:pt>
                <c:pt idx="39">
                  <c:v>4.37</c:v>
                </c:pt>
                <c:pt idx="40">
                  <c:v>3.97</c:v>
                </c:pt>
                <c:pt idx="41">
                  <c:v>3.6399999999999997</c:v>
                </c:pt>
                <c:pt idx="42">
                  <c:v>3.4299999999999997</c:v>
                </c:pt>
                <c:pt idx="43">
                  <c:v>3.29</c:v>
                </c:pt>
                <c:pt idx="44">
                  <c:v>4.08</c:v>
                </c:pt>
                <c:pt idx="45">
                  <c:v>4.08</c:v>
                </c:pt>
                <c:pt idx="46">
                  <c:v>3.59</c:v>
                </c:pt>
                <c:pt idx="47">
                  <c:v>3.44</c:v>
                </c:pt>
                <c:pt idx="48">
                  <c:v>3.2700000000000005</c:v>
                </c:pt>
                <c:pt idx="49">
                  <c:v>4.29</c:v>
                </c:pt>
                <c:pt idx="50">
                  <c:v>4.04</c:v>
                </c:pt>
                <c:pt idx="51">
                  <c:v>3.71</c:v>
                </c:pt>
                <c:pt idx="52">
                  <c:v>3.5</c:v>
                </c:pt>
                <c:pt idx="53">
                  <c:v>3.1100000000000003</c:v>
                </c:pt>
                <c:pt idx="54">
                  <c:v>4.37</c:v>
                </c:pt>
                <c:pt idx="55">
                  <c:v>3.81</c:v>
                </c:pt>
                <c:pt idx="56">
                  <c:v>3.9299999999999997</c:v>
                </c:pt>
                <c:pt idx="57">
                  <c:v>3.4200000000000004</c:v>
                </c:pt>
                <c:pt idx="58">
                  <c:v>3.3600000000000003</c:v>
                </c:pt>
                <c:pt idx="59">
                  <c:v>2.7399999999999998</c:v>
                </c:pt>
                <c:pt idx="60">
                  <c:v>2.7600000000000002</c:v>
                </c:pt>
                <c:pt idx="61">
                  <c:v>2.29</c:v>
                </c:pt>
                <c:pt idx="62">
                  <c:v>2.3199999999999998</c:v>
                </c:pt>
                <c:pt idx="63">
                  <c:v>1.7</c:v>
                </c:pt>
                <c:pt idx="64">
                  <c:v>1.77</c:v>
                </c:pt>
                <c:pt idx="65">
                  <c:v>1.0900000000000001</c:v>
                </c:pt>
                <c:pt idx="66">
                  <c:v>1.27</c:v>
                </c:pt>
                <c:pt idx="67">
                  <c:v>0.32999999999999996</c:v>
                </c:pt>
                <c:pt idx="68">
                  <c:v>0.44000000000000006</c:v>
                </c:pt>
                <c:pt idx="69">
                  <c:v>0.01</c:v>
                </c:pt>
                <c:pt idx="70">
                  <c:v>6.9999999999999993E-2</c:v>
                </c:pt>
                <c:pt idx="71">
                  <c:v>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0-4A0F-B12B-C6412947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19248"/>
        <c:axId val="297519808"/>
      </c:scatterChart>
      <c:scatterChart>
        <c:scatterStyle val="lineMarker"/>
        <c:varyColors val="0"/>
        <c:ser>
          <c:idx val="0"/>
          <c:order val="1"/>
          <c:tx>
            <c:v>C1/C2</c:v>
          </c:tx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'UT-GOM2-1-H005-6FB-2 21.5-41.5'!$V$6:$V$96</c:f>
              <c:numCache>
                <c:formatCode>0.00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0.36239869354838711</c:v>
                </c:pt>
                <c:pt idx="53">
                  <c:v>0.73929333483870963</c:v>
                </c:pt>
                <c:pt idx="54">
                  <c:v>1.1915669043870967</c:v>
                </c:pt>
                <c:pt idx="55">
                  <c:v>1.5491336153548387</c:v>
                </c:pt>
                <c:pt idx="56">
                  <c:v>1.9559865486451613</c:v>
                </c:pt>
                <c:pt idx="57">
                  <c:v>2.3522091202580646</c:v>
                </c:pt>
                <c:pt idx="58">
                  <c:v>2.7001118660645163</c:v>
                </c:pt>
                <c:pt idx="59">
                  <c:v>3.10599840283871</c:v>
                </c:pt>
                <c:pt idx="60">
                  <c:v>3.3910853750967744</c:v>
                </c:pt>
                <c:pt idx="61">
                  <c:v>3.7389881209032261</c:v>
                </c:pt>
                <c:pt idx="62">
                  <c:v>3.9786544569032261</c:v>
                </c:pt>
                <c:pt idx="63">
                  <c:v>4.7807635652903224</c:v>
                </c:pt>
                <c:pt idx="64">
                  <c:v>4.9634125068387096</c:v>
                </c:pt>
                <c:pt idx="65">
                  <c:v>6.0940964307096781</c:v>
                </c:pt>
                <c:pt idx="66">
                  <c:v>6.2255263569032264</c:v>
                </c:pt>
                <c:pt idx="67">
                  <c:v>7.7765927652903235</c:v>
                </c:pt>
                <c:pt idx="68">
                  <c:v>7.8220134015483884</c:v>
                </c:pt>
                <c:pt idx="69">
                  <c:v>8.8753856041290344</c:v>
                </c:pt>
                <c:pt idx="70">
                  <c:v>8.8860159658064539</c:v>
                </c:pt>
                <c:pt idx="71">
                  <c:v>9.0792952690322597</c:v>
                </c:pt>
                <c:pt idx="72">
                  <c:v>9.0899256307096792</c:v>
                </c:pt>
                <c:pt idx="73">
                  <c:v>9.283204933935485</c:v>
                </c:pt>
                <c:pt idx="74">
                  <c:v>9.283204933935485</c:v>
                </c:pt>
                <c:pt idx="75">
                  <c:v>9.283204933935485</c:v>
                </c:pt>
                <c:pt idx="76">
                  <c:v>9.283204933935485</c:v>
                </c:pt>
                <c:pt idx="77">
                  <c:v>9.283204933935485</c:v>
                </c:pt>
                <c:pt idx="78">
                  <c:v>9.283204933935485</c:v>
                </c:pt>
                <c:pt idx="79">
                  <c:v>9.283204933935485</c:v>
                </c:pt>
                <c:pt idx="80">
                  <c:v>9.283204933935485</c:v>
                </c:pt>
                <c:pt idx="81">
                  <c:v>9.283204933935485</c:v>
                </c:pt>
                <c:pt idx="82">
                  <c:v>9.283204933935485</c:v>
                </c:pt>
                <c:pt idx="83">
                  <c:v>9.283204933935485</c:v>
                </c:pt>
                <c:pt idx="84">
                  <c:v>9.283204933935485</c:v>
                </c:pt>
                <c:pt idx="85">
                  <c:v>9.283204933935485</c:v>
                </c:pt>
                <c:pt idx="86">
                  <c:v>9.283204933935485</c:v>
                </c:pt>
                <c:pt idx="87">
                  <c:v>9.283204933935485</c:v>
                </c:pt>
                <c:pt idx="88">
                  <c:v>9.283204933935485</c:v>
                </c:pt>
                <c:pt idx="89">
                  <c:v>9.283204933935485</c:v>
                </c:pt>
                <c:pt idx="90">
                  <c:v>9.283204933935485</c:v>
                </c:pt>
              </c:numCache>
            </c:numRef>
          </c:xVal>
          <c:yVal>
            <c:numRef>
              <c:f>'UT-GOM2-1-H005-6FB-2 21.5-41.5'!$AD$6:$AD$96</c:f>
              <c:numCache>
                <c:formatCode>General</c:formatCode>
                <c:ptCount val="91"/>
                <c:pt idx="57">
                  <c:v>10909.796518434017</c:v>
                </c:pt>
                <c:pt idx="61">
                  <c:v>10767.068995859552</c:v>
                </c:pt>
                <c:pt idx="63">
                  <c:v>10136.339871782975</c:v>
                </c:pt>
                <c:pt idx="65">
                  <c:v>10258.598862406445</c:v>
                </c:pt>
                <c:pt idx="69">
                  <c:v>8823.8843626836551</c:v>
                </c:pt>
                <c:pt idx="73">
                  <c:v>7717.4186796665708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10-4A0F-B12B-C6412947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20928"/>
        <c:axId val="297520368"/>
      </c:scatterChart>
      <c:valAx>
        <c:axId val="29751924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Released CH</a:t>
                </a:r>
                <a:r>
                  <a:rPr lang="en-US" sz="1400" baseline="-25000"/>
                  <a:t>4</a:t>
                </a:r>
                <a:r>
                  <a:rPr lang="en-US" sz="1400" baseline="0"/>
                  <a:t>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19808"/>
        <c:crosses val="autoZero"/>
        <c:crossBetween val="midCat"/>
        <c:minorUnit val="1"/>
      </c:valAx>
      <c:valAx>
        <c:axId val="297519808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>
                    <a:solidFill>
                      <a:srgbClr val="00B050"/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19248"/>
        <c:crosses val="autoZero"/>
        <c:crossBetween val="midCat"/>
      </c:valAx>
      <c:valAx>
        <c:axId val="297520368"/>
        <c:scaling>
          <c:orientation val="minMax"/>
          <c:min val="600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C1/C2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en-US"/>
          </a:p>
        </c:txPr>
        <c:crossAx val="297520928"/>
        <c:crosses val="max"/>
        <c:crossBetween val="midCat"/>
      </c:valAx>
      <c:valAx>
        <c:axId val="29752092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975203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77786488185017588"/>
          <c:h val="0.769292578585156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'UT-GOM2-1-H005-6FB-2 21.5-41.5'!$U$4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0.36239869354838711</c:v>
                </c:pt>
                <c:pt idx="53">
                  <c:v>0.73929333483870963</c:v>
                </c:pt>
                <c:pt idx="54">
                  <c:v>1.1915669043870967</c:v>
                </c:pt>
                <c:pt idx="55">
                  <c:v>1.5491336153548387</c:v>
                </c:pt>
                <c:pt idx="56">
                  <c:v>1.9559865486451613</c:v>
                </c:pt>
                <c:pt idx="57">
                  <c:v>2.3522091202580646</c:v>
                </c:pt>
                <c:pt idx="58">
                  <c:v>2.7001118660645163</c:v>
                </c:pt>
                <c:pt idx="59">
                  <c:v>3.10599840283871</c:v>
                </c:pt>
                <c:pt idx="60">
                  <c:v>3.3910853750967744</c:v>
                </c:pt>
                <c:pt idx="61">
                  <c:v>3.7389881209032261</c:v>
                </c:pt>
                <c:pt idx="62">
                  <c:v>3.9786544569032261</c:v>
                </c:pt>
                <c:pt idx="63">
                  <c:v>4.7807635652903224</c:v>
                </c:pt>
                <c:pt idx="64">
                  <c:v>4.9634125068387096</c:v>
                </c:pt>
                <c:pt idx="65">
                  <c:v>6.0940964307096781</c:v>
                </c:pt>
                <c:pt idx="66">
                  <c:v>6.2255263569032264</c:v>
                </c:pt>
                <c:pt idx="67">
                  <c:v>7.7765927652903235</c:v>
                </c:pt>
                <c:pt idx="68">
                  <c:v>7.8220134015483884</c:v>
                </c:pt>
                <c:pt idx="69">
                  <c:v>8.8753856041290344</c:v>
                </c:pt>
                <c:pt idx="70">
                  <c:v>8.8860159658064539</c:v>
                </c:pt>
                <c:pt idx="71">
                  <c:v>9.0792952690322597</c:v>
                </c:pt>
                <c:pt idx="72">
                  <c:v>9.0899256307096792</c:v>
                </c:pt>
                <c:pt idx="73">
                  <c:v>9.283204933935485</c:v>
                </c:pt>
                <c:pt idx="74">
                  <c:v>9.283204933935485</c:v>
                </c:pt>
                <c:pt idx="75">
                  <c:v>9.283204933935485</c:v>
                </c:pt>
                <c:pt idx="76">
                  <c:v>9.283204933935485</c:v>
                </c:pt>
                <c:pt idx="77">
                  <c:v>9.283204933935485</c:v>
                </c:pt>
                <c:pt idx="78">
                  <c:v>9.283204933935485</c:v>
                </c:pt>
                <c:pt idx="79">
                  <c:v>9.283204933935485</c:v>
                </c:pt>
                <c:pt idx="80">
                  <c:v>9.283204933935485</c:v>
                </c:pt>
                <c:pt idx="81">
                  <c:v>9.283204933935485</c:v>
                </c:pt>
                <c:pt idx="82">
                  <c:v>9.283204933935485</c:v>
                </c:pt>
                <c:pt idx="83">
                  <c:v>9.283204933935485</c:v>
                </c:pt>
                <c:pt idx="84">
                  <c:v>9.283204933935485</c:v>
                </c:pt>
                <c:pt idx="85">
                  <c:v>9.283204933935485</c:v>
                </c:pt>
                <c:pt idx="86">
                  <c:v>9.283204933935485</c:v>
                </c:pt>
                <c:pt idx="87">
                  <c:v>9.283204933935485</c:v>
                </c:pt>
                <c:pt idx="88">
                  <c:v>9.283204933935485</c:v>
                </c:pt>
                <c:pt idx="89">
                  <c:v>9.283204933935485</c:v>
                </c:pt>
                <c:pt idx="90">
                  <c:v>9.283204933935485</c:v>
                </c:pt>
              </c:numCache>
            </c:numRef>
          </c:xVal>
          <c:yVal>
            <c:numRef>
              <c:f>'UT-GOM2-1-H005-6FB-2 21.5-41.5'!$AB$6:$AB$500</c:f>
              <c:numCache>
                <c:formatCode>0.0</c:formatCode>
                <c:ptCount val="495"/>
                <c:pt idx="0">
                  <c:v>19.690000000000001</c:v>
                </c:pt>
                <c:pt idx="1">
                  <c:v>17.91</c:v>
                </c:pt>
                <c:pt idx="2">
                  <c:v>16.809999999999999</c:v>
                </c:pt>
                <c:pt idx="3">
                  <c:v>15.059999999999999</c:v>
                </c:pt>
                <c:pt idx="4">
                  <c:v>13.63</c:v>
                </c:pt>
                <c:pt idx="5">
                  <c:v>12.16</c:v>
                </c:pt>
                <c:pt idx="6">
                  <c:v>11.07</c:v>
                </c:pt>
                <c:pt idx="7">
                  <c:v>9.6</c:v>
                </c:pt>
                <c:pt idx="8">
                  <c:v>8.42</c:v>
                </c:pt>
                <c:pt idx="9">
                  <c:v>7.5400000000000009</c:v>
                </c:pt>
                <c:pt idx="10">
                  <c:v>6.4799999999999995</c:v>
                </c:pt>
                <c:pt idx="11">
                  <c:v>6.2299999999999995</c:v>
                </c:pt>
                <c:pt idx="12">
                  <c:v>6.07</c:v>
                </c:pt>
                <c:pt idx="13">
                  <c:v>5.89</c:v>
                </c:pt>
                <c:pt idx="14">
                  <c:v>5.7299999999999995</c:v>
                </c:pt>
                <c:pt idx="15">
                  <c:v>5.5600000000000005</c:v>
                </c:pt>
                <c:pt idx="16">
                  <c:v>5.39</c:v>
                </c:pt>
                <c:pt idx="17">
                  <c:v>5.2</c:v>
                </c:pt>
                <c:pt idx="18">
                  <c:v>5.01</c:v>
                </c:pt>
                <c:pt idx="19">
                  <c:v>4.8600000000000003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4.75</c:v>
                </c:pt>
                <c:pt idx="23">
                  <c:v>4.75</c:v>
                </c:pt>
                <c:pt idx="24">
                  <c:v>4.7200000000000006</c:v>
                </c:pt>
                <c:pt idx="25">
                  <c:v>4.4799999999999995</c:v>
                </c:pt>
                <c:pt idx="26">
                  <c:v>4.3899999999999997</c:v>
                </c:pt>
                <c:pt idx="27">
                  <c:v>4.3100000000000005</c:v>
                </c:pt>
                <c:pt idx="28">
                  <c:v>4.82</c:v>
                </c:pt>
                <c:pt idx="29">
                  <c:v>4.55</c:v>
                </c:pt>
                <c:pt idx="30">
                  <c:v>4.3899999999999997</c:v>
                </c:pt>
                <c:pt idx="31">
                  <c:v>4.34</c:v>
                </c:pt>
                <c:pt idx="32">
                  <c:v>4.32</c:v>
                </c:pt>
                <c:pt idx="33">
                  <c:v>4.16</c:v>
                </c:pt>
                <c:pt idx="34">
                  <c:v>4.0200000000000005</c:v>
                </c:pt>
                <c:pt idx="35">
                  <c:v>3.88</c:v>
                </c:pt>
                <c:pt idx="36">
                  <c:v>3.94</c:v>
                </c:pt>
                <c:pt idx="37">
                  <c:v>3.79</c:v>
                </c:pt>
                <c:pt idx="38">
                  <c:v>3.34</c:v>
                </c:pt>
                <c:pt idx="39">
                  <c:v>4.37</c:v>
                </c:pt>
                <c:pt idx="40">
                  <c:v>3.97</c:v>
                </c:pt>
                <c:pt idx="41">
                  <c:v>3.6399999999999997</c:v>
                </c:pt>
                <c:pt idx="42">
                  <c:v>3.4299999999999997</c:v>
                </c:pt>
                <c:pt idx="43">
                  <c:v>3.29</c:v>
                </c:pt>
                <c:pt idx="44">
                  <c:v>4.08</c:v>
                </c:pt>
                <c:pt idx="45">
                  <c:v>4.08</c:v>
                </c:pt>
                <c:pt idx="46">
                  <c:v>3.59</c:v>
                </c:pt>
                <c:pt idx="47">
                  <c:v>3.44</c:v>
                </c:pt>
                <c:pt idx="48">
                  <c:v>3.2700000000000005</c:v>
                </c:pt>
                <c:pt idx="49">
                  <c:v>4.29</c:v>
                </c:pt>
                <c:pt idx="50">
                  <c:v>4.04</c:v>
                </c:pt>
                <c:pt idx="51">
                  <c:v>3.71</c:v>
                </c:pt>
                <c:pt idx="52">
                  <c:v>3.5</c:v>
                </c:pt>
                <c:pt idx="53">
                  <c:v>3.1100000000000003</c:v>
                </c:pt>
                <c:pt idx="54">
                  <c:v>4.37</c:v>
                </c:pt>
                <c:pt idx="55">
                  <c:v>3.81</c:v>
                </c:pt>
                <c:pt idx="56">
                  <c:v>3.9299999999999997</c:v>
                </c:pt>
                <c:pt idx="57">
                  <c:v>3.4200000000000004</c:v>
                </c:pt>
                <c:pt idx="58">
                  <c:v>3.3600000000000003</c:v>
                </c:pt>
                <c:pt idx="59">
                  <c:v>2.7399999999999998</c:v>
                </c:pt>
                <c:pt idx="60">
                  <c:v>2.7600000000000002</c:v>
                </c:pt>
                <c:pt idx="61">
                  <c:v>2.29</c:v>
                </c:pt>
                <c:pt idx="62">
                  <c:v>2.3199999999999998</c:v>
                </c:pt>
                <c:pt idx="63">
                  <c:v>1.7</c:v>
                </c:pt>
                <c:pt idx="64">
                  <c:v>1.77</c:v>
                </c:pt>
                <c:pt idx="65">
                  <c:v>1.0900000000000001</c:v>
                </c:pt>
                <c:pt idx="66">
                  <c:v>1.27</c:v>
                </c:pt>
                <c:pt idx="67">
                  <c:v>0.32999999999999996</c:v>
                </c:pt>
                <c:pt idx="68">
                  <c:v>0.44000000000000006</c:v>
                </c:pt>
                <c:pt idx="69">
                  <c:v>0.01</c:v>
                </c:pt>
                <c:pt idx="70">
                  <c:v>6.9999999999999993E-2</c:v>
                </c:pt>
                <c:pt idx="71">
                  <c:v>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D-4808-BBCA-FC820307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03968"/>
        <c:axId val="297504528"/>
      </c:scatterChart>
      <c:scatterChart>
        <c:scatterStyle val="lineMarker"/>
        <c:varyColors val="0"/>
        <c:ser>
          <c:idx val="0"/>
          <c:order val="1"/>
          <c:tx>
            <c:v>C1/C2</c:v>
          </c:tx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'UT-GOM2-1-H005-6FB-2 21.5-41.5'!$V$6:$V$96</c:f>
              <c:numCache>
                <c:formatCode>0.00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0.36239869354838711</c:v>
                </c:pt>
                <c:pt idx="53">
                  <c:v>0.73929333483870963</c:v>
                </c:pt>
                <c:pt idx="54">
                  <c:v>1.1915669043870967</c:v>
                </c:pt>
                <c:pt idx="55">
                  <c:v>1.5491336153548387</c:v>
                </c:pt>
                <c:pt idx="56">
                  <c:v>1.9559865486451613</c:v>
                </c:pt>
                <c:pt idx="57">
                  <c:v>2.3522091202580646</c:v>
                </c:pt>
                <c:pt idx="58">
                  <c:v>2.7001118660645163</c:v>
                </c:pt>
                <c:pt idx="59">
                  <c:v>3.10599840283871</c:v>
                </c:pt>
                <c:pt idx="60">
                  <c:v>3.3910853750967744</c:v>
                </c:pt>
                <c:pt idx="61">
                  <c:v>3.7389881209032261</c:v>
                </c:pt>
                <c:pt idx="62">
                  <c:v>3.9786544569032261</c:v>
                </c:pt>
                <c:pt idx="63">
                  <c:v>4.7807635652903224</c:v>
                </c:pt>
                <c:pt idx="64">
                  <c:v>4.9634125068387096</c:v>
                </c:pt>
                <c:pt idx="65">
                  <c:v>6.0940964307096781</c:v>
                </c:pt>
                <c:pt idx="66">
                  <c:v>6.2255263569032264</c:v>
                </c:pt>
                <c:pt idx="67">
                  <c:v>7.7765927652903235</c:v>
                </c:pt>
                <c:pt idx="68">
                  <c:v>7.8220134015483884</c:v>
                </c:pt>
                <c:pt idx="69">
                  <c:v>8.8753856041290344</c:v>
                </c:pt>
                <c:pt idx="70">
                  <c:v>8.8860159658064539</c:v>
                </c:pt>
                <c:pt idx="71">
                  <c:v>9.0792952690322597</c:v>
                </c:pt>
                <c:pt idx="72">
                  <c:v>9.0899256307096792</c:v>
                </c:pt>
                <c:pt idx="73">
                  <c:v>9.283204933935485</c:v>
                </c:pt>
                <c:pt idx="74">
                  <c:v>9.283204933935485</c:v>
                </c:pt>
                <c:pt idx="75">
                  <c:v>9.283204933935485</c:v>
                </c:pt>
                <c:pt idx="76">
                  <c:v>9.283204933935485</c:v>
                </c:pt>
                <c:pt idx="77">
                  <c:v>9.283204933935485</c:v>
                </c:pt>
                <c:pt idx="78">
                  <c:v>9.283204933935485</c:v>
                </c:pt>
                <c:pt idx="79">
                  <c:v>9.283204933935485</c:v>
                </c:pt>
                <c:pt idx="80">
                  <c:v>9.283204933935485</c:v>
                </c:pt>
                <c:pt idx="81">
                  <c:v>9.283204933935485</c:v>
                </c:pt>
                <c:pt idx="82">
                  <c:v>9.283204933935485</c:v>
                </c:pt>
                <c:pt idx="83">
                  <c:v>9.283204933935485</c:v>
                </c:pt>
                <c:pt idx="84">
                  <c:v>9.283204933935485</c:v>
                </c:pt>
                <c:pt idx="85">
                  <c:v>9.283204933935485</c:v>
                </c:pt>
                <c:pt idx="86">
                  <c:v>9.283204933935485</c:v>
                </c:pt>
                <c:pt idx="87">
                  <c:v>9.283204933935485</c:v>
                </c:pt>
                <c:pt idx="88">
                  <c:v>9.283204933935485</c:v>
                </c:pt>
                <c:pt idx="89">
                  <c:v>9.283204933935485</c:v>
                </c:pt>
                <c:pt idx="90">
                  <c:v>9.283204933935485</c:v>
                </c:pt>
              </c:numCache>
            </c:numRef>
          </c:xVal>
          <c:yVal>
            <c:numRef>
              <c:f>'UT-GOM2-1-H005-6FB-2 21.5-41.5'!$AD$6:$AD$96</c:f>
              <c:numCache>
                <c:formatCode>General</c:formatCode>
                <c:ptCount val="91"/>
                <c:pt idx="57">
                  <c:v>10909.796518434017</c:v>
                </c:pt>
                <c:pt idx="61">
                  <c:v>10767.068995859552</c:v>
                </c:pt>
                <c:pt idx="63">
                  <c:v>10136.339871782975</c:v>
                </c:pt>
                <c:pt idx="65">
                  <c:v>10258.598862406445</c:v>
                </c:pt>
                <c:pt idx="69">
                  <c:v>8823.8843626836551</c:v>
                </c:pt>
                <c:pt idx="73">
                  <c:v>7717.4186796665708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D-4808-BBCA-FC820307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181968"/>
        <c:axId val="297181408"/>
      </c:scatterChart>
      <c:valAx>
        <c:axId val="29750396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Released CH</a:t>
                </a:r>
                <a:r>
                  <a:rPr lang="en-US" sz="1400" baseline="-25000"/>
                  <a:t>4</a:t>
                </a:r>
                <a:r>
                  <a:rPr lang="en-US" sz="1400" baseline="0"/>
                  <a:t>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04528"/>
        <c:crosses val="autoZero"/>
        <c:crossBetween val="midCat"/>
        <c:minorUnit val="1"/>
      </c:valAx>
      <c:valAx>
        <c:axId val="297504528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>
                    <a:solidFill>
                      <a:srgbClr val="00B050"/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03968"/>
        <c:crosses val="autoZero"/>
        <c:crossBetween val="midCat"/>
      </c:valAx>
      <c:valAx>
        <c:axId val="297181408"/>
        <c:scaling>
          <c:orientation val="minMax"/>
          <c:min val="600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C1/C2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en-US"/>
          </a:p>
        </c:txPr>
        <c:crossAx val="297181968"/>
        <c:crosses val="max"/>
        <c:crossBetween val="midCat"/>
      </c:valAx>
      <c:valAx>
        <c:axId val="2971819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97181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'UT-GOM2-1-H005-6FB-2 21.5-41.5'!$Z$4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'UT-GOM2-1-H005-6FB-2 21.5-41.5'!$Z$6:$Z$500</c:f>
              <c:numCache>
                <c:formatCode>0.00</c:formatCode>
                <c:ptCount val="495"/>
                <c:pt idx="0">
                  <c:v>0.75443735913978516</c:v>
                </c:pt>
                <c:pt idx="1">
                  <c:v>0.77571984992558296</c:v>
                </c:pt>
                <c:pt idx="2">
                  <c:v>1.2433701608985117</c:v>
                </c:pt>
                <c:pt idx="3">
                  <c:v>1.3623988904287594</c:v>
                </c:pt>
                <c:pt idx="4">
                  <c:v>1.4262334790008726</c:v>
                </c:pt>
                <c:pt idx="5">
                  <c:v>1.427989378854196</c:v>
                </c:pt>
                <c:pt idx="6">
                  <c:v>1.4150242792996179</c:v>
                </c:pt>
                <c:pt idx="7">
                  <c:v>1.2782628369247</c:v>
                </c:pt>
                <c:pt idx="8">
                  <c:v>1.2047754445183549</c:v>
                </c:pt>
                <c:pt idx="9">
                  <c:v>1.1634150384443891</c:v>
                </c:pt>
                <c:pt idx="10">
                  <c:v>1.0386069205221455</c:v>
                </c:pt>
                <c:pt idx="11">
                  <c:v>1.1235394904737332</c:v>
                </c:pt>
                <c:pt idx="12">
                  <c:v>1.1614370760351354</c:v>
                </c:pt>
                <c:pt idx="13">
                  <c:v>1.1538816521496229</c:v>
                </c:pt>
                <c:pt idx="14">
                  <c:v>1.1522258026447132</c:v>
                </c:pt>
                <c:pt idx="15">
                  <c:v>1.1712816489292539</c:v>
                </c:pt>
                <c:pt idx="16">
                  <c:v>1.1618496336135471</c:v>
                </c:pt>
                <c:pt idx="17">
                  <c:v>1.1194037512304269</c:v>
                </c:pt>
                <c:pt idx="18">
                  <c:v>1.1031154233596043</c:v>
                </c:pt>
                <c:pt idx="19">
                  <c:v>1.0974865499893236</c:v>
                </c:pt>
                <c:pt idx="20">
                  <c:v>1.1472965035579186</c:v>
                </c:pt>
                <c:pt idx="21">
                  <c:v>1.1118499616469235</c:v>
                </c:pt>
                <c:pt idx="22">
                  <c:v>1.1048761830474967</c:v>
                </c:pt>
                <c:pt idx="23">
                  <c:v>1.1324661344086027</c:v>
                </c:pt>
                <c:pt idx="24">
                  <c:v>1.1457422263511652</c:v>
                </c:pt>
                <c:pt idx="25">
                  <c:v>1.0921942353608416</c:v>
                </c:pt>
                <c:pt idx="26">
                  <c:v>1.0833188746596201</c:v>
                </c:pt>
                <c:pt idx="27">
                  <c:v>1.0857975837413449</c:v>
                </c:pt>
                <c:pt idx="28">
                  <c:v>1.2670819341068467</c:v>
                </c:pt>
                <c:pt idx="29">
                  <c:v>1.1730348426921406</c:v>
                </c:pt>
                <c:pt idx="30">
                  <c:v>1.1628521598035317</c:v>
                </c:pt>
                <c:pt idx="31">
                  <c:v>1.1804586620881634</c:v>
                </c:pt>
                <c:pt idx="32">
                  <c:v>1.1988088175380922</c:v>
                </c:pt>
                <c:pt idx="33">
                  <c:v>1.1839898438765537</c:v>
                </c:pt>
                <c:pt idx="34">
                  <c:v>1.1857211667999925</c:v>
                </c:pt>
                <c:pt idx="35">
                  <c:v>1.1831011049638547</c:v>
                </c:pt>
                <c:pt idx="36">
                  <c:v>1.2565006243385424</c:v>
                </c:pt>
                <c:pt idx="37">
                  <c:v>1.2295069537291432</c:v>
                </c:pt>
                <c:pt idx="38">
                  <c:v>1.0963822533357597</c:v>
                </c:pt>
                <c:pt idx="39">
                  <c:v>1.6535769097911146</c:v>
                </c:pt>
                <c:pt idx="40">
                  <c:v>1.4990501983662741</c:v>
                </c:pt>
                <c:pt idx="41">
                  <c:v>1.4882564935528273</c:v>
                </c:pt>
                <c:pt idx="42">
                  <c:v>1.5140522337988385</c:v>
                </c:pt>
                <c:pt idx="43">
                  <c:v>1.6044342780672702</c:v>
                </c:pt>
                <c:pt idx="44">
                  <c:v>2.2637218623735471</c:v>
                </c:pt>
                <c:pt idx="45">
                  <c:v>2.3504211913978503</c:v>
                </c:pt>
                <c:pt idx="46">
                  <c:v>2.2822466195131428</c:v>
                </c:pt>
                <c:pt idx="47">
                  <c:v>2.3834084450558488</c:v>
                </c:pt>
                <c:pt idx="48">
                  <c:v>2.4919178690264503</c:v>
                </c:pt>
                <c:pt idx="49">
                  <c:v>3.6115535048166301</c:v>
                </c:pt>
                <c:pt idx="50">
                  <c:v>3.6089162417620333</c:v>
                </c:pt>
                <c:pt idx="51">
                  <c:v>3.7132501966951055</c:v>
                </c:pt>
                <c:pt idx="52">
                  <c:v>3.8794855451323822</c:v>
                </c:pt>
                <c:pt idx="53">
                  <c:v>4.6259459207229021</c:v>
                </c:pt>
                <c:pt idx="54">
                  <c:v>6.7675131820433077</c:v>
                </c:pt>
                <c:pt idx="55">
                  <c:v>6.5719567856321266</c:v>
                </c:pt>
                <c:pt idx="56">
                  <c:v>7.1898062022918978</c:v>
                </c:pt>
                <c:pt idx="57">
                  <c:v>7.0093142211018797</c:v>
                </c:pt>
                <c:pt idx="58">
                  <c:v>7.3119193349653528</c:v>
                </c:pt>
                <c:pt idx="59">
                  <c:v>7.096069757821251</c:v>
                </c:pt>
                <c:pt idx="60">
                  <c:v>7.4538892357992648</c:v>
                </c:pt>
                <c:pt idx="61">
                  <c:v>7.3081688602628603</c:v>
                </c:pt>
                <c:pt idx="62">
                  <c:v>7.6247414082977576</c:v>
                </c:pt>
                <c:pt idx="63">
                  <c:v>7.7679468414896284</c:v>
                </c:pt>
                <c:pt idx="64">
                  <c:v>8.1040348628638714</c:v>
                </c:pt>
                <c:pt idx="65">
                  <c:v>8.1893932433947931</c:v>
                </c:pt>
                <c:pt idx="66">
                  <c:v>8.6752499269473535</c:v>
                </c:pt>
                <c:pt idx="67">
                  <c:v>8.6927553080688753</c:v>
                </c:pt>
                <c:pt idx="68">
                  <c:v>8.9924810750413577</c:v>
                </c:pt>
                <c:pt idx="69">
                  <c:v>9.1283275236928354</c:v>
                </c:pt>
                <c:pt idx="70">
                  <c:v>9.2801242969056865</c:v>
                </c:pt>
                <c:pt idx="71">
                  <c:v>9.3177414390424254</c:v>
                </c:pt>
                <c:pt idx="72">
                  <c:v>9.3357496223049097</c:v>
                </c:pt>
                <c:pt idx="73">
                  <c:v>9.5300077365161311</c:v>
                </c:pt>
                <c:pt idx="74">
                  <c:v>9.5204994672913745</c:v>
                </c:pt>
                <c:pt idx="75">
                  <c:v>9.5205153210322599</c:v>
                </c:pt>
                <c:pt idx="76">
                  <c:v>9.5205153210322599</c:v>
                </c:pt>
                <c:pt idx="77">
                  <c:v>9.5205153210322599</c:v>
                </c:pt>
                <c:pt idx="78">
                  <c:v>9.5205153210322599</c:v>
                </c:pt>
                <c:pt idx="79">
                  <c:v>9.5205153210322599</c:v>
                </c:pt>
                <c:pt idx="80">
                  <c:v>9.5205153210322599</c:v>
                </c:pt>
                <c:pt idx="81">
                  <c:v>9.5205153210322599</c:v>
                </c:pt>
                <c:pt idx="82">
                  <c:v>9.5205153210322599</c:v>
                </c:pt>
                <c:pt idx="83">
                  <c:v>9.5205153210322599</c:v>
                </c:pt>
                <c:pt idx="84">
                  <c:v>9.5205153210322599</c:v>
                </c:pt>
                <c:pt idx="85">
                  <c:v>9.5205153210322599</c:v>
                </c:pt>
                <c:pt idx="86">
                  <c:v>9.5205153210322599</c:v>
                </c:pt>
                <c:pt idx="87">
                  <c:v>9.5205153210322599</c:v>
                </c:pt>
                <c:pt idx="88">
                  <c:v>9.5205153210322599</c:v>
                </c:pt>
                <c:pt idx="89">
                  <c:v>9.5205153210322599</c:v>
                </c:pt>
                <c:pt idx="90">
                  <c:v>9.5205153210322599</c:v>
                </c:pt>
              </c:numCache>
            </c:numRef>
          </c:xVal>
          <c:yVal>
            <c:numRef>
              <c:f>'UT-GOM2-1-H005-6FB-2 21.5-41.5'!$AB$6:$AB$500</c:f>
              <c:numCache>
                <c:formatCode>0.0</c:formatCode>
                <c:ptCount val="495"/>
                <c:pt idx="0">
                  <c:v>19.690000000000001</c:v>
                </c:pt>
                <c:pt idx="1">
                  <c:v>17.91</c:v>
                </c:pt>
                <c:pt idx="2">
                  <c:v>16.809999999999999</c:v>
                </c:pt>
                <c:pt idx="3">
                  <c:v>15.059999999999999</c:v>
                </c:pt>
                <c:pt idx="4">
                  <c:v>13.63</c:v>
                </c:pt>
                <c:pt idx="5">
                  <c:v>12.16</c:v>
                </c:pt>
                <c:pt idx="6">
                  <c:v>11.07</c:v>
                </c:pt>
                <c:pt idx="7">
                  <c:v>9.6</c:v>
                </c:pt>
                <c:pt idx="8">
                  <c:v>8.42</c:v>
                </c:pt>
                <c:pt idx="9">
                  <c:v>7.5400000000000009</c:v>
                </c:pt>
                <c:pt idx="10">
                  <c:v>6.4799999999999995</c:v>
                </c:pt>
                <c:pt idx="11">
                  <c:v>6.2299999999999995</c:v>
                </c:pt>
                <c:pt idx="12">
                  <c:v>6.07</c:v>
                </c:pt>
                <c:pt idx="13">
                  <c:v>5.89</c:v>
                </c:pt>
                <c:pt idx="14">
                  <c:v>5.7299999999999995</c:v>
                </c:pt>
                <c:pt idx="15">
                  <c:v>5.5600000000000005</c:v>
                </c:pt>
                <c:pt idx="16">
                  <c:v>5.39</c:v>
                </c:pt>
                <c:pt idx="17">
                  <c:v>5.2</c:v>
                </c:pt>
                <c:pt idx="18">
                  <c:v>5.01</c:v>
                </c:pt>
                <c:pt idx="19">
                  <c:v>4.8600000000000003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4.75</c:v>
                </c:pt>
                <c:pt idx="23">
                  <c:v>4.75</c:v>
                </c:pt>
                <c:pt idx="24">
                  <c:v>4.7200000000000006</c:v>
                </c:pt>
                <c:pt idx="25">
                  <c:v>4.4799999999999995</c:v>
                </c:pt>
                <c:pt idx="26">
                  <c:v>4.3899999999999997</c:v>
                </c:pt>
                <c:pt idx="27">
                  <c:v>4.3100000000000005</c:v>
                </c:pt>
                <c:pt idx="28">
                  <c:v>4.82</c:v>
                </c:pt>
                <c:pt idx="29">
                  <c:v>4.55</c:v>
                </c:pt>
                <c:pt idx="30">
                  <c:v>4.3899999999999997</c:v>
                </c:pt>
                <c:pt idx="31">
                  <c:v>4.34</c:v>
                </c:pt>
                <c:pt idx="32">
                  <c:v>4.32</c:v>
                </c:pt>
                <c:pt idx="33">
                  <c:v>4.16</c:v>
                </c:pt>
                <c:pt idx="34">
                  <c:v>4.0200000000000005</c:v>
                </c:pt>
                <c:pt idx="35">
                  <c:v>3.88</c:v>
                </c:pt>
                <c:pt idx="36">
                  <c:v>3.94</c:v>
                </c:pt>
                <c:pt idx="37">
                  <c:v>3.79</c:v>
                </c:pt>
                <c:pt idx="38">
                  <c:v>3.34</c:v>
                </c:pt>
                <c:pt idx="39">
                  <c:v>4.37</c:v>
                </c:pt>
                <c:pt idx="40">
                  <c:v>3.97</c:v>
                </c:pt>
                <c:pt idx="41">
                  <c:v>3.6399999999999997</c:v>
                </c:pt>
                <c:pt idx="42">
                  <c:v>3.4299999999999997</c:v>
                </c:pt>
                <c:pt idx="43">
                  <c:v>3.29</c:v>
                </c:pt>
                <c:pt idx="44">
                  <c:v>4.08</c:v>
                </c:pt>
                <c:pt idx="45">
                  <c:v>4.08</c:v>
                </c:pt>
                <c:pt idx="46">
                  <c:v>3.59</c:v>
                </c:pt>
                <c:pt idx="47">
                  <c:v>3.44</c:v>
                </c:pt>
                <c:pt idx="48">
                  <c:v>3.2700000000000005</c:v>
                </c:pt>
                <c:pt idx="49">
                  <c:v>4.29</c:v>
                </c:pt>
                <c:pt idx="50">
                  <c:v>4.04</c:v>
                </c:pt>
                <c:pt idx="51">
                  <c:v>3.71</c:v>
                </c:pt>
                <c:pt idx="52">
                  <c:v>3.5</c:v>
                </c:pt>
                <c:pt idx="53">
                  <c:v>3.1100000000000003</c:v>
                </c:pt>
                <c:pt idx="54">
                  <c:v>4.37</c:v>
                </c:pt>
                <c:pt idx="55">
                  <c:v>3.81</c:v>
                </c:pt>
                <c:pt idx="56">
                  <c:v>3.9299999999999997</c:v>
                </c:pt>
                <c:pt idx="57">
                  <c:v>3.4200000000000004</c:v>
                </c:pt>
                <c:pt idx="58">
                  <c:v>3.3600000000000003</c:v>
                </c:pt>
                <c:pt idx="59">
                  <c:v>2.7399999999999998</c:v>
                </c:pt>
                <c:pt idx="60">
                  <c:v>2.7600000000000002</c:v>
                </c:pt>
                <c:pt idx="61">
                  <c:v>2.29</c:v>
                </c:pt>
                <c:pt idx="62">
                  <c:v>2.3199999999999998</c:v>
                </c:pt>
                <c:pt idx="63">
                  <c:v>1.7</c:v>
                </c:pt>
                <c:pt idx="64">
                  <c:v>1.77</c:v>
                </c:pt>
                <c:pt idx="65">
                  <c:v>1.0900000000000001</c:v>
                </c:pt>
                <c:pt idx="66">
                  <c:v>1.27</c:v>
                </c:pt>
                <c:pt idx="67">
                  <c:v>0.32999999999999996</c:v>
                </c:pt>
                <c:pt idx="68">
                  <c:v>0.44000000000000006</c:v>
                </c:pt>
                <c:pt idx="69">
                  <c:v>0.01</c:v>
                </c:pt>
                <c:pt idx="70">
                  <c:v>6.9999999999999993E-2</c:v>
                </c:pt>
                <c:pt idx="71">
                  <c:v>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52-46E5-91B5-BC41AB65287E}"/>
            </c:ext>
          </c:extLst>
        </c:ser>
        <c:ser>
          <c:idx val="1"/>
          <c:order val="1"/>
          <c:tx>
            <c:strRef>
              <c:f>'UT-GOM2-1-H005-6FB-2 21.5-41.5'!$U$4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21.5-41.5'!$V$6:$V$500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0.36239869354838711</c:v>
                </c:pt>
                <c:pt idx="53">
                  <c:v>0.73929333483870963</c:v>
                </c:pt>
                <c:pt idx="54">
                  <c:v>1.1915669043870967</c:v>
                </c:pt>
                <c:pt idx="55">
                  <c:v>1.5491336153548387</c:v>
                </c:pt>
                <c:pt idx="56">
                  <c:v>1.9559865486451613</c:v>
                </c:pt>
                <c:pt idx="57">
                  <c:v>2.3522091202580646</c:v>
                </c:pt>
                <c:pt idx="58">
                  <c:v>2.7001118660645163</c:v>
                </c:pt>
                <c:pt idx="59">
                  <c:v>3.10599840283871</c:v>
                </c:pt>
                <c:pt idx="60">
                  <c:v>3.3910853750967744</c:v>
                </c:pt>
                <c:pt idx="61">
                  <c:v>3.7389881209032261</c:v>
                </c:pt>
                <c:pt idx="62">
                  <c:v>3.9786544569032261</c:v>
                </c:pt>
                <c:pt idx="63">
                  <c:v>4.7807635652903224</c:v>
                </c:pt>
                <c:pt idx="64">
                  <c:v>4.9634125068387096</c:v>
                </c:pt>
                <c:pt idx="65">
                  <c:v>6.0940964307096781</c:v>
                </c:pt>
                <c:pt idx="66">
                  <c:v>6.2255263569032264</c:v>
                </c:pt>
                <c:pt idx="67">
                  <c:v>7.7765927652903235</c:v>
                </c:pt>
                <c:pt idx="68">
                  <c:v>7.8220134015483884</c:v>
                </c:pt>
                <c:pt idx="69">
                  <c:v>8.8753856041290344</c:v>
                </c:pt>
                <c:pt idx="70">
                  <c:v>8.8860159658064539</c:v>
                </c:pt>
                <c:pt idx="71">
                  <c:v>9.0792952690322597</c:v>
                </c:pt>
                <c:pt idx="72">
                  <c:v>9.0899256307096792</c:v>
                </c:pt>
                <c:pt idx="73">
                  <c:v>9.283204933935485</c:v>
                </c:pt>
                <c:pt idx="74">
                  <c:v>9.283204933935485</c:v>
                </c:pt>
                <c:pt idx="75">
                  <c:v>9.283204933935485</c:v>
                </c:pt>
                <c:pt idx="76">
                  <c:v>9.283204933935485</c:v>
                </c:pt>
                <c:pt idx="77">
                  <c:v>9.283204933935485</c:v>
                </c:pt>
                <c:pt idx="78">
                  <c:v>9.283204933935485</c:v>
                </c:pt>
                <c:pt idx="79">
                  <c:v>9.283204933935485</c:v>
                </c:pt>
                <c:pt idx="80">
                  <c:v>9.283204933935485</c:v>
                </c:pt>
                <c:pt idx="81">
                  <c:v>9.283204933935485</c:v>
                </c:pt>
                <c:pt idx="82">
                  <c:v>9.283204933935485</c:v>
                </c:pt>
                <c:pt idx="83">
                  <c:v>9.283204933935485</c:v>
                </c:pt>
                <c:pt idx="84">
                  <c:v>9.283204933935485</c:v>
                </c:pt>
                <c:pt idx="85">
                  <c:v>9.283204933935485</c:v>
                </c:pt>
                <c:pt idx="86">
                  <c:v>9.283204933935485</c:v>
                </c:pt>
                <c:pt idx="87">
                  <c:v>9.283204933935485</c:v>
                </c:pt>
                <c:pt idx="88">
                  <c:v>9.283204933935485</c:v>
                </c:pt>
                <c:pt idx="89">
                  <c:v>9.283204933935485</c:v>
                </c:pt>
                <c:pt idx="90">
                  <c:v>9.283204933935485</c:v>
                </c:pt>
              </c:numCache>
            </c:numRef>
          </c:xVal>
          <c:yVal>
            <c:numRef>
              <c:f>'UT-GOM2-1-H005-6FB-2 21.5-41.5'!$AB$6:$AB$500</c:f>
              <c:numCache>
                <c:formatCode>0.0</c:formatCode>
                <c:ptCount val="495"/>
                <c:pt idx="0">
                  <c:v>19.690000000000001</c:v>
                </c:pt>
                <c:pt idx="1">
                  <c:v>17.91</c:v>
                </c:pt>
                <c:pt idx="2">
                  <c:v>16.809999999999999</c:v>
                </c:pt>
                <c:pt idx="3">
                  <c:v>15.059999999999999</c:v>
                </c:pt>
                <c:pt idx="4">
                  <c:v>13.63</c:v>
                </c:pt>
                <c:pt idx="5">
                  <c:v>12.16</c:v>
                </c:pt>
                <c:pt idx="6">
                  <c:v>11.07</c:v>
                </c:pt>
                <c:pt idx="7">
                  <c:v>9.6</c:v>
                </c:pt>
                <c:pt idx="8">
                  <c:v>8.42</c:v>
                </c:pt>
                <c:pt idx="9">
                  <c:v>7.5400000000000009</c:v>
                </c:pt>
                <c:pt idx="10">
                  <c:v>6.4799999999999995</c:v>
                </c:pt>
                <c:pt idx="11">
                  <c:v>6.2299999999999995</c:v>
                </c:pt>
                <c:pt idx="12">
                  <c:v>6.07</c:v>
                </c:pt>
                <c:pt idx="13">
                  <c:v>5.89</c:v>
                </c:pt>
                <c:pt idx="14">
                  <c:v>5.7299999999999995</c:v>
                </c:pt>
                <c:pt idx="15">
                  <c:v>5.5600000000000005</c:v>
                </c:pt>
                <c:pt idx="16">
                  <c:v>5.39</c:v>
                </c:pt>
                <c:pt idx="17">
                  <c:v>5.2</c:v>
                </c:pt>
                <c:pt idx="18">
                  <c:v>5.01</c:v>
                </c:pt>
                <c:pt idx="19">
                  <c:v>4.8600000000000003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4.75</c:v>
                </c:pt>
                <c:pt idx="23">
                  <c:v>4.75</c:v>
                </c:pt>
                <c:pt idx="24">
                  <c:v>4.7200000000000006</c:v>
                </c:pt>
                <c:pt idx="25">
                  <c:v>4.4799999999999995</c:v>
                </c:pt>
                <c:pt idx="26">
                  <c:v>4.3899999999999997</c:v>
                </c:pt>
                <c:pt idx="27">
                  <c:v>4.3100000000000005</c:v>
                </c:pt>
                <c:pt idx="28">
                  <c:v>4.82</c:v>
                </c:pt>
                <c:pt idx="29">
                  <c:v>4.55</c:v>
                </c:pt>
                <c:pt idx="30">
                  <c:v>4.3899999999999997</c:v>
                </c:pt>
                <c:pt idx="31">
                  <c:v>4.34</c:v>
                </c:pt>
                <c:pt idx="32">
                  <c:v>4.32</c:v>
                </c:pt>
                <c:pt idx="33">
                  <c:v>4.16</c:v>
                </c:pt>
                <c:pt idx="34">
                  <c:v>4.0200000000000005</c:v>
                </c:pt>
                <c:pt idx="35">
                  <c:v>3.88</c:v>
                </c:pt>
                <c:pt idx="36">
                  <c:v>3.94</c:v>
                </c:pt>
                <c:pt idx="37">
                  <c:v>3.79</c:v>
                </c:pt>
                <c:pt idx="38">
                  <c:v>3.34</c:v>
                </c:pt>
                <c:pt idx="39">
                  <c:v>4.37</c:v>
                </c:pt>
                <c:pt idx="40">
                  <c:v>3.97</c:v>
                </c:pt>
                <c:pt idx="41">
                  <c:v>3.6399999999999997</c:v>
                </c:pt>
                <c:pt idx="42">
                  <c:v>3.4299999999999997</c:v>
                </c:pt>
                <c:pt idx="43">
                  <c:v>3.29</c:v>
                </c:pt>
                <c:pt idx="44">
                  <c:v>4.08</c:v>
                </c:pt>
                <c:pt idx="45">
                  <c:v>4.08</c:v>
                </c:pt>
                <c:pt idx="46">
                  <c:v>3.59</c:v>
                </c:pt>
                <c:pt idx="47">
                  <c:v>3.44</c:v>
                </c:pt>
                <c:pt idx="48">
                  <c:v>3.2700000000000005</c:v>
                </c:pt>
                <c:pt idx="49">
                  <c:v>4.29</c:v>
                </c:pt>
                <c:pt idx="50">
                  <c:v>4.04</c:v>
                </c:pt>
                <c:pt idx="51">
                  <c:v>3.71</c:v>
                </c:pt>
                <c:pt idx="52">
                  <c:v>3.5</c:v>
                </c:pt>
                <c:pt idx="53">
                  <c:v>3.1100000000000003</c:v>
                </c:pt>
                <c:pt idx="54">
                  <c:v>4.37</c:v>
                </c:pt>
                <c:pt idx="55">
                  <c:v>3.81</c:v>
                </c:pt>
                <c:pt idx="56">
                  <c:v>3.9299999999999997</c:v>
                </c:pt>
                <c:pt idx="57">
                  <c:v>3.4200000000000004</c:v>
                </c:pt>
                <c:pt idx="58">
                  <c:v>3.3600000000000003</c:v>
                </c:pt>
                <c:pt idx="59">
                  <c:v>2.7399999999999998</c:v>
                </c:pt>
                <c:pt idx="60">
                  <c:v>2.7600000000000002</c:v>
                </c:pt>
                <c:pt idx="61">
                  <c:v>2.29</c:v>
                </c:pt>
                <c:pt idx="62">
                  <c:v>2.3199999999999998</c:v>
                </c:pt>
                <c:pt idx="63">
                  <c:v>1.7</c:v>
                </c:pt>
                <c:pt idx="64">
                  <c:v>1.77</c:v>
                </c:pt>
                <c:pt idx="65">
                  <c:v>1.0900000000000001</c:v>
                </c:pt>
                <c:pt idx="66">
                  <c:v>1.27</c:v>
                </c:pt>
                <c:pt idx="67">
                  <c:v>0.32999999999999996</c:v>
                </c:pt>
                <c:pt idx="68">
                  <c:v>0.44000000000000006</c:v>
                </c:pt>
                <c:pt idx="69">
                  <c:v>0.01</c:v>
                </c:pt>
                <c:pt idx="70">
                  <c:v>6.9999999999999993E-2</c:v>
                </c:pt>
                <c:pt idx="71">
                  <c:v>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52-46E5-91B5-BC41AB65287E}"/>
            </c:ext>
          </c:extLst>
        </c:ser>
        <c:ser>
          <c:idx val="2"/>
          <c:order val="2"/>
          <c:tx>
            <c:strRef>
              <c:f>'UT-GOM2-1-H005-6FB-2 21.5-41.5'!$W$4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'UT-GOM2-1-H005-6FB-2 21.5-41.5'!$Y$6:$Y$500</c:f>
              <c:numCache>
                <c:formatCode>0.00</c:formatCode>
                <c:ptCount val="495"/>
                <c:pt idx="0">
                  <c:v>0.75443735913978516</c:v>
                </c:pt>
                <c:pt idx="1">
                  <c:v>0.77571984992558296</c:v>
                </c:pt>
                <c:pt idx="2">
                  <c:v>1.2433701608985117</c:v>
                </c:pt>
                <c:pt idx="3">
                  <c:v>1.3623988904287594</c:v>
                </c:pt>
                <c:pt idx="4">
                  <c:v>1.4262334790008726</c:v>
                </c:pt>
                <c:pt idx="5">
                  <c:v>1.427989378854196</c:v>
                </c:pt>
                <c:pt idx="6">
                  <c:v>1.4150242792996179</c:v>
                </c:pt>
                <c:pt idx="7">
                  <c:v>1.2782628369247</c:v>
                </c:pt>
                <c:pt idx="8">
                  <c:v>1.2047754445183549</c:v>
                </c:pt>
                <c:pt idx="9">
                  <c:v>1.1634150384443891</c:v>
                </c:pt>
                <c:pt idx="10">
                  <c:v>1.0386069205221455</c:v>
                </c:pt>
                <c:pt idx="11">
                  <c:v>1.1235394904737332</c:v>
                </c:pt>
                <c:pt idx="12">
                  <c:v>1.1614370760351354</c:v>
                </c:pt>
                <c:pt idx="13">
                  <c:v>1.1538816521496229</c:v>
                </c:pt>
                <c:pt idx="14">
                  <c:v>1.1522258026447132</c:v>
                </c:pt>
                <c:pt idx="15">
                  <c:v>1.1712816489292539</c:v>
                </c:pt>
                <c:pt idx="16">
                  <c:v>1.1618496336135471</c:v>
                </c:pt>
                <c:pt idx="17">
                  <c:v>1.1194037512304269</c:v>
                </c:pt>
                <c:pt idx="18">
                  <c:v>1.1031154233596043</c:v>
                </c:pt>
                <c:pt idx="19">
                  <c:v>1.0974865499893236</c:v>
                </c:pt>
                <c:pt idx="20">
                  <c:v>1.1472965035579186</c:v>
                </c:pt>
                <c:pt idx="21">
                  <c:v>1.1118499616469235</c:v>
                </c:pt>
                <c:pt idx="22">
                  <c:v>1.1048761830474967</c:v>
                </c:pt>
                <c:pt idx="23">
                  <c:v>1.1324661344086027</c:v>
                </c:pt>
                <c:pt idx="24">
                  <c:v>1.1457422263511652</c:v>
                </c:pt>
                <c:pt idx="25">
                  <c:v>1.0921942353608416</c:v>
                </c:pt>
                <c:pt idx="26">
                  <c:v>1.0833188746596201</c:v>
                </c:pt>
                <c:pt idx="27">
                  <c:v>1.0857975837413449</c:v>
                </c:pt>
                <c:pt idx="28">
                  <c:v>1.2670819341068467</c:v>
                </c:pt>
                <c:pt idx="29">
                  <c:v>1.1730348426921406</c:v>
                </c:pt>
                <c:pt idx="30">
                  <c:v>1.1628521598035317</c:v>
                </c:pt>
                <c:pt idx="31">
                  <c:v>1.1804586620881634</c:v>
                </c:pt>
                <c:pt idx="32">
                  <c:v>1.1988088175380922</c:v>
                </c:pt>
                <c:pt idx="33">
                  <c:v>1.1839898438765537</c:v>
                </c:pt>
                <c:pt idx="34">
                  <c:v>1.1857211667999925</c:v>
                </c:pt>
                <c:pt idx="35">
                  <c:v>1.1831011049638547</c:v>
                </c:pt>
                <c:pt idx="36">
                  <c:v>1.2565006243385424</c:v>
                </c:pt>
                <c:pt idx="37">
                  <c:v>1.2295069537291432</c:v>
                </c:pt>
                <c:pt idx="38">
                  <c:v>1.0963822533357597</c:v>
                </c:pt>
                <c:pt idx="39">
                  <c:v>1.6535769097911146</c:v>
                </c:pt>
                <c:pt idx="40">
                  <c:v>1.4990501983662741</c:v>
                </c:pt>
                <c:pt idx="41">
                  <c:v>1.4882564935528273</c:v>
                </c:pt>
                <c:pt idx="42">
                  <c:v>1.5140522337988385</c:v>
                </c:pt>
                <c:pt idx="43">
                  <c:v>1.6044342780672702</c:v>
                </c:pt>
                <c:pt idx="44">
                  <c:v>2.2637218623735471</c:v>
                </c:pt>
                <c:pt idx="45">
                  <c:v>2.3504211913978503</c:v>
                </c:pt>
                <c:pt idx="46">
                  <c:v>2.2822466195131428</c:v>
                </c:pt>
                <c:pt idx="47">
                  <c:v>2.3834084450558488</c:v>
                </c:pt>
                <c:pt idx="48">
                  <c:v>2.4919178690264503</c:v>
                </c:pt>
                <c:pt idx="49">
                  <c:v>3.6115535048166301</c:v>
                </c:pt>
                <c:pt idx="50">
                  <c:v>3.6089162417620333</c:v>
                </c:pt>
                <c:pt idx="51">
                  <c:v>3.7132501966951055</c:v>
                </c:pt>
                <c:pt idx="52">
                  <c:v>3.5170868515839953</c:v>
                </c:pt>
                <c:pt idx="53">
                  <c:v>3.886652585884192</c:v>
                </c:pt>
                <c:pt idx="54">
                  <c:v>5.575946277656211</c:v>
                </c:pt>
                <c:pt idx="55">
                  <c:v>5.0228231702772881</c:v>
                </c:pt>
                <c:pt idx="56">
                  <c:v>5.2338196536467363</c:v>
                </c:pt>
                <c:pt idx="57">
                  <c:v>4.6571051008438156</c:v>
                </c:pt>
                <c:pt idx="58">
                  <c:v>4.611807468900837</c:v>
                </c:pt>
                <c:pt idx="59">
                  <c:v>3.9900713549825406</c:v>
                </c:pt>
                <c:pt idx="60">
                  <c:v>4.0628038607024903</c:v>
                </c:pt>
                <c:pt idx="61">
                  <c:v>3.5691807393596342</c:v>
                </c:pt>
                <c:pt idx="62">
                  <c:v>3.6460869513945315</c:v>
                </c:pt>
                <c:pt idx="63">
                  <c:v>2.9871832761993056</c:v>
                </c:pt>
                <c:pt idx="64">
                  <c:v>3.1406223560251614</c:v>
                </c:pt>
                <c:pt idx="65">
                  <c:v>2.095296812685115</c:v>
                </c:pt>
                <c:pt idx="66">
                  <c:v>2.4497235700441271</c:v>
                </c:pt>
                <c:pt idx="67">
                  <c:v>0.91616254277855191</c:v>
                </c:pt>
                <c:pt idx="68">
                  <c:v>1.1704676734929695</c:v>
                </c:pt>
                <c:pt idx="69">
                  <c:v>0.2529419195638008</c:v>
                </c:pt>
                <c:pt idx="70">
                  <c:v>0.39410833109923338</c:v>
                </c:pt>
                <c:pt idx="71">
                  <c:v>0.23844617001016485</c:v>
                </c:pt>
                <c:pt idx="72">
                  <c:v>0.24582399159523122</c:v>
                </c:pt>
                <c:pt idx="73">
                  <c:v>0.24680280258064527</c:v>
                </c:pt>
                <c:pt idx="74">
                  <c:v>0.23729453335588885</c:v>
                </c:pt>
                <c:pt idx="75">
                  <c:v>0.23731038709677435</c:v>
                </c:pt>
                <c:pt idx="76">
                  <c:v>0.23731038709677435</c:v>
                </c:pt>
                <c:pt idx="77">
                  <c:v>0.23731038709677435</c:v>
                </c:pt>
                <c:pt idx="78">
                  <c:v>0.23731038709677435</c:v>
                </c:pt>
                <c:pt idx="79">
                  <c:v>0.23731038709677435</c:v>
                </c:pt>
                <c:pt idx="80">
                  <c:v>0.23731038709677435</c:v>
                </c:pt>
                <c:pt idx="81">
                  <c:v>0.23731038709677435</c:v>
                </c:pt>
                <c:pt idx="82">
                  <c:v>0.23731038709677435</c:v>
                </c:pt>
                <c:pt idx="83">
                  <c:v>0.23731038709677435</c:v>
                </c:pt>
                <c:pt idx="84">
                  <c:v>0.23731038709677435</c:v>
                </c:pt>
                <c:pt idx="85">
                  <c:v>0.23731038709677435</c:v>
                </c:pt>
                <c:pt idx="86">
                  <c:v>0.23731038709677435</c:v>
                </c:pt>
                <c:pt idx="87">
                  <c:v>0.23731038709677435</c:v>
                </c:pt>
                <c:pt idx="88">
                  <c:v>0.23731038709677435</c:v>
                </c:pt>
                <c:pt idx="89">
                  <c:v>0.23731038709677435</c:v>
                </c:pt>
                <c:pt idx="90">
                  <c:v>0.23731038709677435</c:v>
                </c:pt>
              </c:numCache>
            </c:numRef>
          </c:xVal>
          <c:yVal>
            <c:numRef>
              <c:f>'UT-GOM2-1-H005-6FB-2 21.5-41.5'!$AB$6:$AB$500</c:f>
              <c:numCache>
                <c:formatCode>0.0</c:formatCode>
                <c:ptCount val="495"/>
                <c:pt idx="0">
                  <c:v>19.690000000000001</c:v>
                </c:pt>
                <c:pt idx="1">
                  <c:v>17.91</c:v>
                </c:pt>
                <c:pt idx="2">
                  <c:v>16.809999999999999</c:v>
                </c:pt>
                <c:pt idx="3">
                  <c:v>15.059999999999999</c:v>
                </c:pt>
                <c:pt idx="4">
                  <c:v>13.63</c:v>
                </c:pt>
                <c:pt idx="5">
                  <c:v>12.16</c:v>
                </c:pt>
                <c:pt idx="6">
                  <c:v>11.07</c:v>
                </c:pt>
                <c:pt idx="7">
                  <c:v>9.6</c:v>
                </c:pt>
                <c:pt idx="8">
                  <c:v>8.42</c:v>
                </c:pt>
                <c:pt idx="9">
                  <c:v>7.5400000000000009</c:v>
                </c:pt>
                <c:pt idx="10">
                  <c:v>6.4799999999999995</c:v>
                </c:pt>
                <c:pt idx="11">
                  <c:v>6.2299999999999995</c:v>
                </c:pt>
                <c:pt idx="12">
                  <c:v>6.07</c:v>
                </c:pt>
                <c:pt idx="13">
                  <c:v>5.89</c:v>
                </c:pt>
                <c:pt idx="14">
                  <c:v>5.7299999999999995</c:v>
                </c:pt>
                <c:pt idx="15">
                  <c:v>5.5600000000000005</c:v>
                </c:pt>
                <c:pt idx="16">
                  <c:v>5.39</c:v>
                </c:pt>
                <c:pt idx="17">
                  <c:v>5.2</c:v>
                </c:pt>
                <c:pt idx="18">
                  <c:v>5.01</c:v>
                </c:pt>
                <c:pt idx="19">
                  <c:v>4.8600000000000003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4.75</c:v>
                </c:pt>
                <c:pt idx="23">
                  <c:v>4.75</c:v>
                </c:pt>
                <c:pt idx="24">
                  <c:v>4.7200000000000006</c:v>
                </c:pt>
                <c:pt idx="25">
                  <c:v>4.4799999999999995</c:v>
                </c:pt>
                <c:pt idx="26">
                  <c:v>4.3899999999999997</c:v>
                </c:pt>
                <c:pt idx="27">
                  <c:v>4.3100000000000005</c:v>
                </c:pt>
                <c:pt idx="28">
                  <c:v>4.82</c:v>
                </c:pt>
                <c:pt idx="29">
                  <c:v>4.55</c:v>
                </c:pt>
                <c:pt idx="30">
                  <c:v>4.3899999999999997</c:v>
                </c:pt>
                <c:pt idx="31">
                  <c:v>4.34</c:v>
                </c:pt>
                <c:pt idx="32">
                  <c:v>4.32</c:v>
                </c:pt>
                <c:pt idx="33">
                  <c:v>4.16</c:v>
                </c:pt>
                <c:pt idx="34">
                  <c:v>4.0200000000000005</c:v>
                </c:pt>
                <c:pt idx="35">
                  <c:v>3.88</c:v>
                </c:pt>
                <c:pt idx="36">
                  <c:v>3.94</c:v>
                </c:pt>
                <c:pt idx="37">
                  <c:v>3.79</c:v>
                </c:pt>
                <c:pt idx="38">
                  <c:v>3.34</c:v>
                </c:pt>
                <c:pt idx="39">
                  <c:v>4.37</c:v>
                </c:pt>
                <c:pt idx="40">
                  <c:v>3.97</c:v>
                </c:pt>
                <c:pt idx="41">
                  <c:v>3.6399999999999997</c:v>
                </c:pt>
                <c:pt idx="42">
                  <c:v>3.4299999999999997</c:v>
                </c:pt>
                <c:pt idx="43">
                  <c:v>3.29</c:v>
                </c:pt>
                <c:pt idx="44">
                  <c:v>4.08</c:v>
                </c:pt>
                <c:pt idx="45">
                  <c:v>4.08</c:v>
                </c:pt>
                <c:pt idx="46">
                  <c:v>3.59</c:v>
                </c:pt>
                <c:pt idx="47">
                  <c:v>3.44</c:v>
                </c:pt>
                <c:pt idx="48">
                  <c:v>3.2700000000000005</c:v>
                </c:pt>
                <c:pt idx="49">
                  <c:v>4.29</c:v>
                </c:pt>
                <c:pt idx="50">
                  <c:v>4.04</c:v>
                </c:pt>
                <c:pt idx="51">
                  <c:v>3.71</c:v>
                </c:pt>
                <c:pt idx="52">
                  <c:v>3.5</c:v>
                </c:pt>
                <c:pt idx="53">
                  <c:v>3.1100000000000003</c:v>
                </c:pt>
                <c:pt idx="54">
                  <c:v>4.37</c:v>
                </c:pt>
                <c:pt idx="55">
                  <c:v>3.81</c:v>
                </c:pt>
                <c:pt idx="56">
                  <c:v>3.9299999999999997</c:v>
                </c:pt>
                <c:pt idx="57">
                  <c:v>3.4200000000000004</c:v>
                </c:pt>
                <c:pt idx="58">
                  <c:v>3.3600000000000003</c:v>
                </c:pt>
                <c:pt idx="59">
                  <c:v>2.7399999999999998</c:v>
                </c:pt>
                <c:pt idx="60">
                  <c:v>2.7600000000000002</c:v>
                </c:pt>
                <c:pt idx="61">
                  <c:v>2.29</c:v>
                </c:pt>
                <c:pt idx="62">
                  <c:v>2.3199999999999998</c:v>
                </c:pt>
                <c:pt idx="63">
                  <c:v>1.7</c:v>
                </c:pt>
                <c:pt idx="64">
                  <c:v>1.77</c:v>
                </c:pt>
                <c:pt idx="65">
                  <c:v>1.0900000000000001</c:v>
                </c:pt>
                <c:pt idx="66">
                  <c:v>1.27</c:v>
                </c:pt>
                <c:pt idx="67">
                  <c:v>0.32999999999999996</c:v>
                </c:pt>
                <c:pt idx="68">
                  <c:v>0.44000000000000006</c:v>
                </c:pt>
                <c:pt idx="69">
                  <c:v>0.01</c:v>
                </c:pt>
                <c:pt idx="70">
                  <c:v>6.9999999999999993E-2</c:v>
                </c:pt>
                <c:pt idx="71">
                  <c:v>1E-3</c:v>
                </c:pt>
                <c:pt idx="72">
                  <c:v>4.0000000000000001E-3</c:v>
                </c:pt>
                <c:pt idx="73">
                  <c:v>4.0000000000000001E-3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52-46E5-91B5-BC41AB65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337088"/>
        <c:axId val="297337648"/>
      </c:scatterChart>
      <c:valAx>
        <c:axId val="297337088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337648"/>
        <c:crosses val="autoZero"/>
        <c:crossBetween val="midCat"/>
        <c:minorUnit val="1"/>
      </c:valAx>
      <c:valAx>
        <c:axId val="297337648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33708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47625</xdr:rowOff>
    </xdr:from>
    <xdr:to>
      <xdr:col>9</xdr:col>
      <xdr:colOff>352425</xdr:colOff>
      <xdr:row>35</xdr:row>
      <xdr:rowOff>38100</xdr:rowOff>
    </xdr:to>
    <xdr:sp macro="" textlink="">
      <xdr:nvSpPr>
        <xdr:cNvPr id="17" name="Rectangle 16"/>
        <xdr:cNvSpPr/>
      </xdr:nvSpPr>
      <xdr:spPr>
        <a:xfrm>
          <a:off x="1524000" y="1181100"/>
          <a:ext cx="4829175" cy="4524375"/>
        </a:xfrm>
        <a:prstGeom prst="rect">
          <a:avLst/>
        </a:prstGeom>
        <a:solidFill>
          <a:schemeClr val="accent4">
            <a:lumMod val="20000"/>
            <a:lumOff val="80000"/>
            <a:alpha val="33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absoluteAnchor>
    <xdr:pos x="672645" y="431497"/>
    <xdr:ext cx="7956000" cy="590400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2</xdr:col>
      <xdr:colOff>266700</xdr:colOff>
      <xdr:row>28</xdr:row>
      <xdr:rowOff>95250</xdr:rowOff>
    </xdr:from>
    <xdr:ext cx="326436" cy="264560"/>
    <xdr:sp macro="" textlink="">
      <xdr:nvSpPr>
        <xdr:cNvPr id="3" name="TextBox 2"/>
        <xdr:cNvSpPr txBox="1"/>
      </xdr:nvSpPr>
      <xdr:spPr>
        <a:xfrm>
          <a:off x="1600200" y="46291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</a:t>
          </a:r>
        </a:p>
      </xdr:txBody>
    </xdr:sp>
    <xdr:clientData/>
  </xdr:oneCellAnchor>
  <xdr:oneCellAnchor>
    <xdr:from>
      <xdr:col>2</xdr:col>
      <xdr:colOff>361950</xdr:colOff>
      <xdr:row>30</xdr:row>
      <xdr:rowOff>142875</xdr:rowOff>
    </xdr:from>
    <xdr:ext cx="591893" cy="264560"/>
    <xdr:sp macro="" textlink="">
      <xdr:nvSpPr>
        <xdr:cNvPr id="4" name="TextBox 3"/>
        <xdr:cNvSpPr txBox="1"/>
      </xdr:nvSpPr>
      <xdr:spPr>
        <a:xfrm>
          <a:off x="1695450" y="50006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 ABC</a:t>
          </a:r>
        </a:p>
      </xdr:txBody>
    </xdr:sp>
    <xdr:clientData/>
  </xdr:oneCellAnchor>
  <xdr:oneCellAnchor>
    <xdr:from>
      <xdr:col>3</xdr:col>
      <xdr:colOff>76200</xdr:colOff>
      <xdr:row>27</xdr:row>
      <xdr:rowOff>47625</xdr:rowOff>
    </xdr:from>
    <xdr:ext cx="326436" cy="264560"/>
    <xdr:sp macro="" textlink="">
      <xdr:nvSpPr>
        <xdr:cNvPr id="7" name="TextBox 6"/>
        <xdr:cNvSpPr txBox="1"/>
      </xdr:nvSpPr>
      <xdr:spPr>
        <a:xfrm>
          <a:off x="2076450" y="44196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#2</a:t>
          </a:r>
        </a:p>
      </xdr:txBody>
    </xdr:sp>
    <xdr:clientData/>
  </xdr:oneCellAnchor>
  <xdr:oneCellAnchor>
    <xdr:from>
      <xdr:col>3</xdr:col>
      <xdr:colOff>180975</xdr:colOff>
      <xdr:row>30</xdr:row>
      <xdr:rowOff>19050</xdr:rowOff>
    </xdr:from>
    <xdr:ext cx="591893" cy="264560"/>
    <xdr:sp macro="" textlink="">
      <xdr:nvSpPr>
        <xdr:cNvPr id="8" name="TextBox 7"/>
        <xdr:cNvSpPr txBox="1"/>
      </xdr:nvSpPr>
      <xdr:spPr>
        <a:xfrm>
          <a:off x="2181225" y="48768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#2 ABC</a:t>
          </a:r>
        </a:p>
      </xdr:txBody>
    </xdr:sp>
    <xdr:clientData/>
  </xdr:oneCellAnchor>
  <xdr:oneCellAnchor>
    <xdr:from>
      <xdr:col>3</xdr:col>
      <xdr:colOff>590550</xdr:colOff>
      <xdr:row>28</xdr:row>
      <xdr:rowOff>0</xdr:rowOff>
    </xdr:from>
    <xdr:ext cx="326436" cy="264560"/>
    <xdr:sp macro="" textlink="">
      <xdr:nvSpPr>
        <xdr:cNvPr id="9" name="TextBox 8"/>
        <xdr:cNvSpPr txBox="1"/>
      </xdr:nvSpPr>
      <xdr:spPr>
        <a:xfrm>
          <a:off x="2590800" y="45339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#3</a:t>
          </a:r>
        </a:p>
      </xdr:txBody>
    </xdr:sp>
    <xdr:clientData/>
  </xdr:oneCellAnchor>
  <xdr:oneCellAnchor>
    <xdr:from>
      <xdr:col>4</xdr:col>
      <xdr:colOff>38100</xdr:colOff>
      <xdr:row>30</xdr:row>
      <xdr:rowOff>104775</xdr:rowOff>
    </xdr:from>
    <xdr:ext cx="591893" cy="264560"/>
    <xdr:sp macro="" textlink="">
      <xdr:nvSpPr>
        <xdr:cNvPr id="10" name="TextBox 9"/>
        <xdr:cNvSpPr txBox="1"/>
      </xdr:nvSpPr>
      <xdr:spPr>
        <a:xfrm>
          <a:off x="2705100" y="49625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#3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4</xdr:col>
      <xdr:colOff>361950</xdr:colOff>
      <xdr:row>28</xdr:row>
      <xdr:rowOff>142875</xdr:rowOff>
    </xdr:from>
    <xdr:ext cx="326436" cy="264560"/>
    <xdr:sp macro="" textlink="">
      <xdr:nvSpPr>
        <xdr:cNvPr id="11" name="TextBox 10"/>
        <xdr:cNvSpPr txBox="1"/>
      </xdr:nvSpPr>
      <xdr:spPr>
        <a:xfrm>
          <a:off x="3028950" y="4676775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#4</a:t>
          </a:r>
        </a:p>
      </xdr:txBody>
    </xdr:sp>
    <xdr:clientData/>
  </xdr:oneCellAnchor>
  <xdr:oneCellAnchor>
    <xdr:from>
      <xdr:col>4</xdr:col>
      <xdr:colOff>466725</xdr:colOff>
      <xdr:row>31</xdr:row>
      <xdr:rowOff>66675</xdr:rowOff>
    </xdr:from>
    <xdr:ext cx="591893" cy="264560"/>
    <xdr:sp macro="" textlink="">
      <xdr:nvSpPr>
        <xdr:cNvPr id="12" name="TextBox 11"/>
        <xdr:cNvSpPr txBox="1"/>
      </xdr:nvSpPr>
      <xdr:spPr>
        <a:xfrm>
          <a:off x="3133725" y="508635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#4 ABC</a:t>
          </a:r>
        </a:p>
      </xdr:txBody>
    </xdr:sp>
    <xdr:clientData/>
  </xdr:oneCellAnchor>
  <xdr:oneCellAnchor>
    <xdr:from>
      <xdr:col>5</xdr:col>
      <xdr:colOff>123825</xdr:colOff>
      <xdr:row>29</xdr:row>
      <xdr:rowOff>104775</xdr:rowOff>
    </xdr:from>
    <xdr:ext cx="326436" cy="264560"/>
    <xdr:sp macro="" textlink="">
      <xdr:nvSpPr>
        <xdr:cNvPr id="13" name="TextBox 12"/>
        <xdr:cNvSpPr txBox="1"/>
      </xdr:nvSpPr>
      <xdr:spPr>
        <a:xfrm>
          <a:off x="3457575" y="48006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#5</a:t>
          </a:r>
        </a:p>
      </xdr:txBody>
    </xdr:sp>
    <xdr:clientData/>
  </xdr:oneCellAnchor>
  <xdr:oneCellAnchor>
    <xdr:from>
      <xdr:col>5</xdr:col>
      <xdr:colOff>504825</xdr:colOff>
      <xdr:row>30</xdr:row>
      <xdr:rowOff>28575</xdr:rowOff>
    </xdr:from>
    <xdr:ext cx="326436" cy="264560"/>
    <xdr:sp macro="" textlink="">
      <xdr:nvSpPr>
        <xdr:cNvPr id="14" name="TextBox 13"/>
        <xdr:cNvSpPr txBox="1"/>
      </xdr:nvSpPr>
      <xdr:spPr>
        <a:xfrm>
          <a:off x="3838575" y="4886325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#6</a:t>
          </a:r>
        </a:p>
      </xdr:txBody>
    </xdr:sp>
    <xdr:clientData/>
  </xdr:oneCellAnchor>
  <xdr:oneCellAnchor>
    <xdr:from>
      <xdr:col>6</xdr:col>
      <xdr:colOff>171450</xdr:colOff>
      <xdr:row>32</xdr:row>
      <xdr:rowOff>152400</xdr:rowOff>
    </xdr:from>
    <xdr:ext cx="591893" cy="264560"/>
    <xdr:sp macro="" textlink="">
      <xdr:nvSpPr>
        <xdr:cNvPr id="15" name="TextBox 14"/>
        <xdr:cNvSpPr txBox="1"/>
      </xdr:nvSpPr>
      <xdr:spPr>
        <a:xfrm>
          <a:off x="4171950" y="53340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#6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6</xdr:col>
      <xdr:colOff>457200</xdr:colOff>
      <xdr:row>31</xdr:row>
      <xdr:rowOff>9525</xdr:rowOff>
    </xdr:from>
    <xdr:ext cx="326436" cy="264560"/>
    <xdr:sp macro="" textlink="">
      <xdr:nvSpPr>
        <xdr:cNvPr id="16" name="TextBox 15"/>
        <xdr:cNvSpPr txBox="1"/>
      </xdr:nvSpPr>
      <xdr:spPr>
        <a:xfrm>
          <a:off x="4457700" y="50292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#7</a:t>
          </a:r>
        </a:p>
      </xdr:txBody>
    </xdr:sp>
    <xdr:clientData/>
  </xdr:oneCellAnchor>
  <xdr:oneCellAnchor>
    <xdr:from>
      <xdr:col>7</xdr:col>
      <xdr:colOff>361950</xdr:colOff>
      <xdr:row>33</xdr:row>
      <xdr:rowOff>142875</xdr:rowOff>
    </xdr:from>
    <xdr:ext cx="591893" cy="264560"/>
    <xdr:sp macro="" textlink="">
      <xdr:nvSpPr>
        <xdr:cNvPr id="18" name="TextBox 17"/>
        <xdr:cNvSpPr txBox="1"/>
      </xdr:nvSpPr>
      <xdr:spPr>
        <a:xfrm>
          <a:off x="5029200" y="54864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#7 ABC</a:t>
          </a:r>
        </a:p>
      </xdr:txBody>
    </xdr:sp>
    <xdr:clientData/>
  </xdr:oneCellAnchor>
  <xdr:oneCellAnchor>
    <xdr:from>
      <xdr:col>7</xdr:col>
      <xdr:colOff>542925</xdr:colOff>
      <xdr:row>31</xdr:row>
      <xdr:rowOff>142875</xdr:rowOff>
    </xdr:from>
    <xdr:ext cx="326436" cy="264560"/>
    <xdr:sp macro="" textlink="">
      <xdr:nvSpPr>
        <xdr:cNvPr id="19" name="TextBox 18"/>
        <xdr:cNvSpPr txBox="1"/>
      </xdr:nvSpPr>
      <xdr:spPr>
        <a:xfrm>
          <a:off x="5210175" y="51625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#8</a:t>
          </a:r>
        </a:p>
      </xdr:txBody>
    </xdr:sp>
    <xdr:clientData/>
  </xdr:oneCellAnchor>
  <xdr:oneCellAnchor>
    <xdr:from>
      <xdr:col>8</xdr:col>
      <xdr:colOff>609600</xdr:colOff>
      <xdr:row>34</xdr:row>
      <xdr:rowOff>142875</xdr:rowOff>
    </xdr:from>
    <xdr:ext cx="591893" cy="264560"/>
    <xdr:sp macro="" textlink="">
      <xdr:nvSpPr>
        <xdr:cNvPr id="20" name="TextBox 19"/>
        <xdr:cNvSpPr txBox="1"/>
      </xdr:nvSpPr>
      <xdr:spPr>
        <a:xfrm>
          <a:off x="5943600" y="56483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#8 ABC</a:t>
          </a:r>
        </a:p>
      </xdr:txBody>
    </xdr:sp>
    <xdr:clientData/>
  </xdr:oneCellAnchor>
  <xdr:oneCellAnchor>
    <xdr:from>
      <xdr:col>9</xdr:col>
      <xdr:colOff>200025</xdr:colOff>
      <xdr:row>33</xdr:row>
      <xdr:rowOff>9525</xdr:rowOff>
    </xdr:from>
    <xdr:ext cx="326436" cy="264560"/>
    <xdr:sp macro="" textlink="">
      <xdr:nvSpPr>
        <xdr:cNvPr id="21" name="TextBox 20"/>
        <xdr:cNvSpPr txBox="1"/>
      </xdr:nvSpPr>
      <xdr:spPr>
        <a:xfrm>
          <a:off x="6200775" y="53530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#9</a:t>
          </a:r>
        </a:p>
      </xdr:txBody>
    </xdr:sp>
    <xdr:clientData/>
  </xdr:oneCellAnchor>
  <xdr:oneCellAnchor>
    <xdr:from>
      <xdr:col>10</xdr:col>
      <xdr:colOff>57150</xdr:colOff>
      <xdr:row>33</xdr:row>
      <xdr:rowOff>104775</xdr:rowOff>
    </xdr:from>
    <xdr:ext cx="397929" cy="264560"/>
    <xdr:sp macro="" textlink="">
      <xdr:nvSpPr>
        <xdr:cNvPr id="22" name="TextBox 21"/>
        <xdr:cNvSpPr txBox="1"/>
      </xdr:nvSpPr>
      <xdr:spPr>
        <a:xfrm>
          <a:off x="6724650" y="5448300"/>
          <a:ext cx="397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#10</a:t>
          </a:r>
        </a:p>
      </xdr:txBody>
    </xdr:sp>
    <xdr:clientData/>
  </xdr:oneCellAnchor>
  <xdr:oneCellAnchor>
    <xdr:from>
      <xdr:col>9</xdr:col>
      <xdr:colOff>552450</xdr:colOff>
      <xdr:row>35</xdr:row>
      <xdr:rowOff>28575</xdr:rowOff>
    </xdr:from>
    <xdr:ext cx="663387" cy="264560"/>
    <xdr:sp macro="" textlink="">
      <xdr:nvSpPr>
        <xdr:cNvPr id="23" name="TextBox 22"/>
        <xdr:cNvSpPr txBox="1"/>
      </xdr:nvSpPr>
      <xdr:spPr>
        <a:xfrm>
          <a:off x="6553200" y="5695950"/>
          <a:ext cx="66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#10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10</xdr:col>
      <xdr:colOff>304800</xdr:colOff>
      <xdr:row>33</xdr:row>
      <xdr:rowOff>123825</xdr:rowOff>
    </xdr:from>
    <xdr:ext cx="397929" cy="264560"/>
    <xdr:sp macro="" textlink="">
      <xdr:nvSpPr>
        <xdr:cNvPr id="24" name="TextBox 23"/>
        <xdr:cNvSpPr txBox="1"/>
      </xdr:nvSpPr>
      <xdr:spPr>
        <a:xfrm>
          <a:off x="6972300" y="5467350"/>
          <a:ext cx="397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#11</a:t>
          </a:r>
        </a:p>
      </xdr:txBody>
    </xdr:sp>
    <xdr:clientData/>
  </xdr:oneCellAnchor>
  <xdr:oneCellAnchor>
    <xdr:from>
      <xdr:col>10</xdr:col>
      <xdr:colOff>371475</xdr:colOff>
      <xdr:row>35</xdr:row>
      <xdr:rowOff>57150</xdr:rowOff>
    </xdr:from>
    <xdr:ext cx="663387" cy="264560"/>
    <xdr:sp macro="" textlink="">
      <xdr:nvSpPr>
        <xdr:cNvPr id="25" name="TextBox 24"/>
        <xdr:cNvSpPr txBox="1"/>
      </xdr:nvSpPr>
      <xdr:spPr>
        <a:xfrm>
          <a:off x="7038975" y="5724525"/>
          <a:ext cx="66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#11 ABC</a:t>
          </a:r>
        </a:p>
      </xdr:txBody>
    </xdr:sp>
    <xdr:clientData/>
  </xdr:oneCellAnchor>
  <xdr:twoCellAnchor>
    <xdr:from>
      <xdr:col>9</xdr:col>
      <xdr:colOff>371475</xdr:colOff>
      <xdr:row>42</xdr:row>
      <xdr:rowOff>104775</xdr:rowOff>
    </xdr:from>
    <xdr:to>
      <xdr:col>10</xdr:col>
      <xdr:colOff>638175</xdr:colOff>
      <xdr:row>42</xdr:row>
      <xdr:rowOff>104775</xdr:rowOff>
    </xdr:to>
    <xdr:cxnSp macro="">
      <xdr:nvCxnSpPr>
        <xdr:cNvPr id="27" name="Straight Arrow Connector 26"/>
        <xdr:cNvCxnSpPr/>
      </xdr:nvCxnSpPr>
      <xdr:spPr>
        <a:xfrm>
          <a:off x="6372225" y="6905625"/>
          <a:ext cx="93345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180975</xdr:colOff>
      <xdr:row>10</xdr:row>
      <xdr:rowOff>66675</xdr:rowOff>
    </xdr:from>
    <xdr:ext cx="266291" cy="264560"/>
    <xdr:sp macro="" textlink="">
      <xdr:nvSpPr>
        <xdr:cNvPr id="32" name="TextBox 31"/>
        <xdr:cNvSpPr txBox="1"/>
      </xdr:nvSpPr>
      <xdr:spPr>
        <a:xfrm>
          <a:off x="2847975" y="1685925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</a:p>
      </xdr:txBody>
    </xdr:sp>
    <xdr:clientData/>
  </xdr:oneCellAnchor>
  <xdr:oneCellAnchor>
    <xdr:from>
      <xdr:col>5</xdr:col>
      <xdr:colOff>371475</xdr:colOff>
      <xdr:row>11</xdr:row>
      <xdr:rowOff>19050</xdr:rowOff>
    </xdr:from>
    <xdr:ext cx="259879" cy="264560"/>
    <xdr:sp macro="" textlink="">
      <xdr:nvSpPr>
        <xdr:cNvPr id="33" name="TextBox 32"/>
        <xdr:cNvSpPr txBox="1"/>
      </xdr:nvSpPr>
      <xdr:spPr>
        <a:xfrm>
          <a:off x="3705225" y="1800225"/>
          <a:ext cx="259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oneCellAnchor>
    <xdr:from>
      <xdr:col>6</xdr:col>
      <xdr:colOff>342900</xdr:colOff>
      <xdr:row>14</xdr:row>
      <xdr:rowOff>9525</xdr:rowOff>
    </xdr:from>
    <xdr:ext cx="271485" cy="264560"/>
    <xdr:sp macro="" textlink="">
      <xdr:nvSpPr>
        <xdr:cNvPr id="34" name="TextBox 33"/>
        <xdr:cNvSpPr txBox="1"/>
      </xdr:nvSpPr>
      <xdr:spPr>
        <a:xfrm>
          <a:off x="4343400" y="2276475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</a:t>
          </a:r>
        </a:p>
      </xdr:txBody>
    </xdr:sp>
    <xdr:clientData/>
  </xdr:oneCellAnchor>
  <xdr:oneCellAnchor>
    <xdr:from>
      <xdr:col>7</xdr:col>
      <xdr:colOff>523875</xdr:colOff>
      <xdr:row>13</xdr:row>
      <xdr:rowOff>104775</xdr:rowOff>
    </xdr:from>
    <xdr:ext cx="253531" cy="264560"/>
    <xdr:sp macro="" textlink="">
      <xdr:nvSpPr>
        <xdr:cNvPr id="35" name="TextBox 34"/>
        <xdr:cNvSpPr txBox="1"/>
      </xdr:nvSpPr>
      <xdr:spPr>
        <a:xfrm>
          <a:off x="5191125" y="2209800"/>
          <a:ext cx="2535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</a:t>
          </a:r>
        </a:p>
      </xdr:txBody>
    </xdr:sp>
    <xdr:clientData/>
  </xdr:oneCellAnchor>
  <xdr:oneCellAnchor>
    <xdr:from>
      <xdr:col>10</xdr:col>
      <xdr:colOff>219075</xdr:colOff>
      <xdr:row>20</xdr:row>
      <xdr:rowOff>57150</xdr:rowOff>
    </xdr:from>
    <xdr:ext cx="272575" cy="264560"/>
    <xdr:sp macro="" textlink="">
      <xdr:nvSpPr>
        <xdr:cNvPr id="36" name="TextBox 35"/>
        <xdr:cNvSpPr txBox="1"/>
      </xdr:nvSpPr>
      <xdr:spPr>
        <a:xfrm>
          <a:off x="6886575" y="3295650"/>
          <a:ext cx="27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</a:t>
          </a:r>
        </a:p>
      </xdr:txBody>
    </xdr:sp>
    <xdr:clientData/>
  </xdr:oneCellAnchor>
  <xdr:oneCellAnchor>
    <xdr:from>
      <xdr:col>10</xdr:col>
      <xdr:colOff>504825</xdr:colOff>
      <xdr:row>25</xdr:row>
      <xdr:rowOff>47625</xdr:rowOff>
    </xdr:from>
    <xdr:ext cx="229615" cy="264560"/>
    <xdr:sp macro="" textlink="">
      <xdr:nvSpPr>
        <xdr:cNvPr id="37" name="TextBox 36"/>
        <xdr:cNvSpPr txBox="1"/>
      </xdr:nvSpPr>
      <xdr:spPr>
        <a:xfrm>
          <a:off x="7172325" y="4095750"/>
          <a:ext cx="2296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J</a:t>
          </a:r>
        </a:p>
      </xdr:txBody>
    </xdr:sp>
    <xdr:clientData/>
  </xdr:oneCellAnchor>
  <xdr:oneCellAnchor>
    <xdr:from>
      <xdr:col>9</xdr:col>
      <xdr:colOff>304800</xdr:colOff>
      <xdr:row>41</xdr:row>
      <xdr:rowOff>0</xdr:rowOff>
    </xdr:from>
    <xdr:ext cx="1008609" cy="264560"/>
    <xdr:sp macro="" textlink="">
      <xdr:nvSpPr>
        <xdr:cNvPr id="38" name="TextBox 37"/>
        <xdr:cNvSpPr txBox="1"/>
      </xdr:nvSpPr>
      <xdr:spPr>
        <a:xfrm>
          <a:off x="6305550" y="6638925"/>
          <a:ext cx="10086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iC4 detectable</a:t>
          </a:r>
        </a:p>
      </xdr:txBody>
    </xdr:sp>
    <xdr:clientData/>
  </xdr:oneCellAnchor>
  <xdr:twoCellAnchor>
    <xdr:from>
      <xdr:col>6</xdr:col>
      <xdr:colOff>561975</xdr:colOff>
      <xdr:row>43</xdr:row>
      <xdr:rowOff>114300</xdr:rowOff>
    </xdr:from>
    <xdr:to>
      <xdr:col>10</xdr:col>
      <xdr:colOff>647700</xdr:colOff>
      <xdr:row>43</xdr:row>
      <xdr:rowOff>114300</xdr:rowOff>
    </xdr:to>
    <xdr:cxnSp macro="">
      <xdr:nvCxnSpPr>
        <xdr:cNvPr id="39" name="Straight Arrow Connector 38"/>
        <xdr:cNvCxnSpPr/>
      </xdr:nvCxnSpPr>
      <xdr:spPr>
        <a:xfrm>
          <a:off x="4562475" y="7077075"/>
          <a:ext cx="275272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381000</xdr:colOff>
      <xdr:row>42</xdr:row>
      <xdr:rowOff>47625</xdr:rowOff>
    </xdr:from>
    <xdr:ext cx="1050352" cy="264560"/>
    <xdr:sp macro="" textlink="">
      <xdr:nvSpPr>
        <xdr:cNvPr id="41" name="TextBox 40"/>
        <xdr:cNvSpPr txBox="1"/>
      </xdr:nvSpPr>
      <xdr:spPr>
        <a:xfrm>
          <a:off x="5048250" y="6848475"/>
          <a:ext cx="10503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nC4 detectable</a:t>
          </a:r>
        </a:p>
      </xdr:txBody>
    </xdr:sp>
    <xdr:clientData/>
  </xdr:oneCellAnchor>
  <xdr:twoCellAnchor>
    <xdr:from>
      <xdr:col>2</xdr:col>
      <xdr:colOff>266700</xdr:colOff>
      <xdr:row>41</xdr:row>
      <xdr:rowOff>0</xdr:rowOff>
    </xdr:from>
    <xdr:to>
      <xdr:col>10</xdr:col>
      <xdr:colOff>628650</xdr:colOff>
      <xdr:row>41</xdr:row>
      <xdr:rowOff>2</xdr:rowOff>
    </xdr:to>
    <xdr:cxnSp macro="">
      <xdr:nvCxnSpPr>
        <xdr:cNvPr id="43" name="Straight Arrow Connector 42"/>
        <xdr:cNvCxnSpPr/>
      </xdr:nvCxnSpPr>
      <xdr:spPr>
        <a:xfrm flipV="1">
          <a:off x="1600200" y="6638925"/>
          <a:ext cx="5695950" cy="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619125</xdr:colOff>
      <xdr:row>39</xdr:row>
      <xdr:rowOff>66675</xdr:rowOff>
    </xdr:from>
    <xdr:ext cx="1264129" cy="264560"/>
    <xdr:sp macro="" textlink="">
      <xdr:nvSpPr>
        <xdr:cNvPr id="47" name="TextBox 46"/>
        <xdr:cNvSpPr txBox="1"/>
      </xdr:nvSpPr>
      <xdr:spPr>
        <a:xfrm>
          <a:off x="3952875" y="6381750"/>
          <a:ext cx="12641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C3, nC5 detectable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0.24229</cdr:x>
      <cdr:y>0.13181</cdr:y>
    </cdr:from>
    <cdr:to>
      <cdr:x>0.35722</cdr:x>
      <cdr:y>0.28668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7680" y="7781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Hydrate dissociation ocurring</a:t>
          </a:r>
        </a:p>
      </cdr:txBody>
    </cdr:sp>
  </cdr:relSizeAnchor>
  <cdr:relSizeAnchor xmlns:cdr="http://schemas.openxmlformats.org/drawingml/2006/chartDrawing">
    <cdr:from>
      <cdr:x>0.35836</cdr:x>
      <cdr:y>0.80397</cdr:y>
    </cdr:from>
    <cdr:to>
      <cdr:x>0.43276</cdr:x>
      <cdr:y>0.84878</cdr:y>
    </cdr:to>
    <cdr:sp macro="" textlink="">
      <cdr:nvSpPr>
        <cdr:cNvPr id="5" name="TextBox 6"/>
        <cdr:cNvSpPr txBox="1"/>
      </cdr:nvSpPr>
      <cdr:spPr>
        <a:xfrm xmlns:a="http://schemas.openxmlformats.org/drawingml/2006/main">
          <a:off x="2851131" y="4746639"/>
          <a:ext cx="591926" cy="2645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#5 ABC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47625</xdr:rowOff>
    </xdr:from>
    <xdr:to>
      <xdr:col>9</xdr:col>
      <xdr:colOff>352425</xdr:colOff>
      <xdr:row>35</xdr:row>
      <xdr:rowOff>38100</xdr:rowOff>
    </xdr:to>
    <xdr:sp macro="" textlink="">
      <xdr:nvSpPr>
        <xdr:cNvPr id="2" name="Rectangle 1"/>
        <xdr:cNvSpPr/>
      </xdr:nvSpPr>
      <xdr:spPr>
        <a:xfrm>
          <a:off x="1524000" y="1181100"/>
          <a:ext cx="4829175" cy="4524375"/>
        </a:xfrm>
        <a:prstGeom prst="rect">
          <a:avLst/>
        </a:prstGeom>
        <a:solidFill>
          <a:schemeClr val="accent4">
            <a:lumMod val="20000"/>
            <a:lumOff val="80000"/>
            <a:alpha val="33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absoluteAnchor>
    <xdr:pos x="672645" y="431497"/>
    <xdr:ext cx="7956000" cy="5904000"/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7"/>
  <sheetViews>
    <sheetView tabSelected="1" topLeftCell="X1" zoomScale="75" zoomScaleNormal="75" zoomScalePageLayoutView="75" workbookViewId="0">
      <selection activeCell="AG38" sqref="AG38"/>
    </sheetView>
  </sheetViews>
  <sheetFormatPr defaultColWidth="11" defaultRowHeight="13.5" x14ac:dyDescent="0.3"/>
  <cols>
    <col min="1" max="1" width="11.23046875" style="2" customWidth="1"/>
    <col min="2" max="2" width="15.3828125" style="2" customWidth="1"/>
    <col min="3" max="3" width="20" customWidth="1"/>
    <col min="4" max="5" width="12.15234375" customWidth="1"/>
    <col min="6" max="6" width="12.15234375" style="9" customWidth="1"/>
    <col min="7" max="7" width="12.15234375" style="1" customWidth="1"/>
    <col min="8" max="8" width="0.3828125" style="1" customWidth="1"/>
    <col min="9" max="12" width="13.61328125" customWidth="1"/>
    <col min="13" max="13" width="16.61328125" customWidth="1"/>
    <col min="14" max="14" width="53.61328125" style="8" customWidth="1"/>
    <col min="15" max="15" width="13" style="28" customWidth="1"/>
    <col min="16" max="16" width="13" style="29" customWidth="1"/>
    <col min="17" max="17" width="13" style="30" customWidth="1"/>
    <col min="18" max="18" width="13" style="28" customWidth="1"/>
    <col min="19" max="19" width="13" style="30" customWidth="1"/>
    <col min="20" max="20" width="14.15234375" style="28" customWidth="1"/>
    <col min="21" max="21" width="13" style="28" customWidth="1"/>
    <col min="22" max="22" width="13" style="31" customWidth="1"/>
    <col min="23" max="23" width="17" style="31" customWidth="1"/>
    <col min="24" max="24" width="13.15234375" style="31" customWidth="1"/>
    <col min="25" max="25" width="14.84375" style="31" customWidth="1"/>
    <col min="26" max="26" width="20.3828125" style="28" customWidth="1"/>
    <col min="27" max="16384" width="11" style="3"/>
  </cols>
  <sheetData>
    <row r="1" spans="1:33" ht="25" customHeight="1" x14ac:dyDescent="0.3">
      <c r="A1" s="81" t="s">
        <v>1</v>
      </c>
      <c r="B1" s="82"/>
      <c r="C1" s="82"/>
      <c r="D1" s="82"/>
      <c r="E1" s="82"/>
      <c r="F1" s="83">
        <v>41782</v>
      </c>
      <c r="G1" s="84"/>
      <c r="H1" s="85"/>
      <c r="I1" s="86" t="s">
        <v>11</v>
      </c>
      <c r="J1" s="82"/>
      <c r="K1" s="82"/>
      <c r="L1" s="84" t="s">
        <v>41</v>
      </c>
      <c r="M1" s="84"/>
      <c r="N1" s="85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33" ht="25" customHeight="1" thickBot="1" x14ac:dyDescent="0.35">
      <c r="A2" s="76" t="s">
        <v>10</v>
      </c>
      <c r="B2" s="77"/>
      <c r="C2" s="77"/>
      <c r="D2" s="77"/>
      <c r="E2" s="77"/>
      <c r="F2" s="78">
        <v>1014</v>
      </c>
      <c r="G2" s="78"/>
      <c r="H2" s="79"/>
      <c r="I2" s="80" t="s">
        <v>4</v>
      </c>
      <c r="J2" s="77"/>
      <c r="K2" s="77"/>
      <c r="L2" s="78" t="s">
        <v>40</v>
      </c>
      <c r="M2" s="78"/>
      <c r="N2" s="54">
        <f>IF(L2="red",4025, IF(L2="green",4140,IF(L2="yellow",4122,IF(L2="blue",4059,0))))</f>
        <v>4059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33" ht="25" customHeight="1" thickBot="1" x14ac:dyDescent="0.35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  <c r="Q3" s="71" t="s">
        <v>25</v>
      </c>
      <c r="R3" s="72"/>
      <c r="S3" s="73"/>
    </row>
    <row r="4" spans="1:33" ht="25" customHeight="1" x14ac:dyDescent="0.3">
      <c r="A4" s="95" t="s">
        <v>17</v>
      </c>
      <c r="B4" s="87" t="s">
        <v>16</v>
      </c>
      <c r="C4" s="97" t="s">
        <v>18</v>
      </c>
      <c r="D4" s="89" t="s">
        <v>21</v>
      </c>
      <c r="E4" s="91"/>
      <c r="F4" s="89" t="s">
        <v>3</v>
      </c>
      <c r="G4" s="90"/>
      <c r="H4" s="43"/>
      <c r="I4" s="99" t="s">
        <v>2</v>
      </c>
      <c r="J4" s="99"/>
      <c r="K4" s="99"/>
      <c r="L4" s="100"/>
      <c r="M4" s="101" t="s">
        <v>43</v>
      </c>
      <c r="N4" s="103" t="s">
        <v>19</v>
      </c>
      <c r="O4" s="70" t="s">
        <v>24</v>
      </c>
      <c r="P4" s="69"/>
      <c r="Q4" s="34" t="s">
        <v>27</v>
      </c>
      <c r="R4" s="74" t="s">
        <v>26</v>
      </c>
      <c r="S4" s="75"/>
      <c r="T4" s="58" t="s">
        <v>28</v>
      </c>
      <c r="U4" s="68" t="s">
        <v>22</v>
      </c>
      <c r="V4" s="69"/>
      <c r="W4" s="65" t="s">
        <v>35</v>
      </c>
      <c r="X4" s="66"/>
      <c r="Y4" s="67"/>
      <c r="Z4" s="38" t="s">
        <v>23</v>
      </c>
      <c r="AB4" s="38" t="s">
        <v>38</v>
      </c>
      <c r="AD4" s="63"/>
    </row>
    <row r="5" spans="1:33" s="4" customFormat="1" ht="77.25" customHeight="1" thickBot="1" x14ac:dyDescent="0.35">
      <c r="A5" s="96"/>
      <c r="B5" s="88"/>
      <c r="C5" s="98"/>
      <c r="D5" s="44" t="s">
        <v>5</v>
      </c>
      <c r="E5" s="45" t="s">
        <v>6</v>
      </c>
      <c r="F5" s="44" t="s">
        <v>0</v>
      </c>
      <c r="G5" s="45" t="s">
        <v>7</v>
      </c>
      <c r="H5" s="46"/>
      <c r="I5" s="46" t="s">
        <v>5</v>
      </c>
      <c r="J5" s="45" t="s">
        <v>6</v>
      </c>
      <c r="K5" s="46" t="s">
        <v>8</v>
      </c>
      <c r="L5" s="47" t="s">
        <v>9</v>
      </c>
      <c r="M5" s="102"/>
      <c r="N5" s="104"/>
      <c r="O5" s="41" t="s">
        <v>20</v>
      </c>
      <c r="P5" s="33" t="s">
        <v>14</v>
      </c>
      <c r="Q5" s="35" t="s">
        <v>34</v>
      </c>
      <c r="R5" s="36" t="s">
        <v>15</v>
      </c>
      <c r="S5" s="37" t="s">
        <v>33</v>
      </c>
      <c r="T5" s="39" t="s">
        <v>12</v>
      </c>
      <c r="U5" s="32" t="s">
        <v>32</v>
      </c>
      <c r="V5" s="52" t="s">
        <v>29</v>
      </c>
      <c r="W5" s="40" t="s">
        <v>36</v>
      </c>
      <c r="X5" s="55" t="s">
        <v>37</v>
      </c>
      <c r="Y5" s="53" t="s">
        <v>30</v>
      </c>
      <c r="Z5" s="39" t="s">
        <v>31</v>
      </c>
      <c r="AB5" s="39" t="s">
        <v>39</v>
      </c>
      <c r="AD5" s="64" t="s">
        <v>83</v>
      </c>
      <c r="AG5" s="4" t="s">
        <v>84</v>
      </c>
    </row>
    <row r="6" spans="1:33" s="21" customFormat="1" ht="20.25" customHeight="1" x14ac:dyDescent="0.3">
      <c r="A6" s="10">
        <v>1</v>
      </c>
      <c r="B6" s="11">
        <v>41782</v>
      </c>
      <c r="C6" s="12">
        <v>0.56944444444444442</v>
      </c>
      <c r="D6" s="13">
        <v>227.8</v>
      </c>
      <c r="E6" s="14">
        <v>196.9</v>
      </c>
      <c r="F6" s="15">
        <v>0</v>
      </c>
      <c r="G6" s="16">
        <v>4</v>
      </c>
      <c r="H6" s="17"/>
      <c r="I6" s="18">
        <v>1</v>
      </c>
      <c r="J6" s="18">
        <v>1</v>
      </c>
      <c r="K6" s="19">
        <v>0</v>
      </c>
      <c r="L6" s="14">
        <v>6</v>
      </c>
      <c r="M6" s="13"/>
      <c r="N6" s="20"/>
      <c r="O6" s="42">
        <v>0</v>
      </c>
      <c r="P6" s="42">
        <v>0</v>
      </c>
      <c r="Q6" s="48">
        <f t="shared" ref="Q6:Q37" si="0">F6*$F$2/1000*273/(273+L6)</f>
        <v>0</v>
      </c>
      <c r="R6" s="49">
        <f t="shared" ref="R6:R37" si="1">$N$2-K6</f>
        <v>4059</v>
      </c>
      <c r="S6" s="50">
        <f t="shared" ref="S6:S37" si="2">IF(I6=J6,0,R6*(J6-I6))*273/(273+L6)</f>
        <v>0</v>
      </c>
      <c r="T6" s="59">
        <v>97.4</v>
      </c>
      <c r="U6" s="48">
        <f>(S6+Q6)*T6/100</f>
        <v>0</v>
      </c>
      <c r="V6" s="51">
        <f>U6/1000</f>
        <v>0</v>
      </c>
      <c r="W6" s="51">
        <f>(G6+K6)/1000</f>
        <v>4.0000000000000001E-3</v>
      </c>
      <c r="X6" s="51">
        <v>0</v>
      </c>
      <c r="Y6" s="51">
        <f>(W6-X6)*(E6+1)*1*273/(273+L6)*T6/100</f>
        <v>0.75443735913978516</v>
      </c>
      <c r="Z6" s="51">
        <f>V6+Y6</f>
        <v>0.75443735913978516</v>
      </c>
      <c r="AB6" s="56">
        <f t="shared" ref="AB6:AB37" si="3">E6/10</f>
        <v>19.690000000000001</v>
      </c>
      <c r="AG6">
        <v>2.7999999999999998E-4</v>
      </c>
    </row>
    <row r="7" spans="1:33" s="27" customFormat="1" ht="20.25" customHeight="1" x14ac:dyDescent="0.3">
      <c r="A7" s="22">
        <f>A6+1</f>
        <v>2</v>
      </c>
      <c r="B7" s="11">
        <v>41782</v>
      </c>
      <c r="C7" s="12">
        <v>0.57152777777777775</v>
      </c>
      <c r="D7" s="13">
        <v>196.9</v>
      </c>
      <c r="E7" s="14">
        <v>179.1</v>
      </c>
      <c r="F7" s="23">
        <v>0</v>
      </c>
      <c r="G7" s="16">
        <v>2</v>
      </c>
      <c r="H7" s="24"/>
      <c r="I7" s="18">
        <v>1</v>
      </c>
      <c r="J7" s="18">
        <v>1</v>
      </c>
      <c r="K7" s="19">
        <v>0</v>
      </c>
      <c r="L7" s="14">
        <v>6</v>
      </c>
      <c r="M7" s="25"/>
      <c r="N7" s="26"/>
      <c r="O7" s="48">
        <f t="shared" ref="O7:O38" si="4">((B7 +C7) - (B6 + C6)) * 24 * 60</f>
        <v>2.9999999993015081</v>
      </c>
      <c r="P7" s="51">
        <f>P6+O7/60</f>
        <v>4.9999999988358468E-2</v>
      </c>
      <c r="Q7" s="48">
        <f t="shared" si="0"/>
        <v>0</v>
      </c>
      <c r="R7" s="49">
        <f t="shared" si="1"/>
        <v>4059</v>
      </c>
      <c r="S7" s="50">
        <f t="shared" si="2"/>
        <v>0</v>
      </c>
      <c r="T7" s="59">
        <v>97.4</v>
      </c>
      <c r="U7" s="48">
        <f>(S7+Q7)*T7/100</f>
        <v>0</v>
      </c>
      <c r="V7" s="51">
        <f>V6+U7/1000</f>
        <v>0</v>
      </c>
      <c r="W7" s="51">
        <f t="shared" ref="W7:W38" si="5">W6+(G7+K7)/1000</f>
        <v>6.0000000000000001E-3</v>
      </c>
      <c r="X7" s="60">
        <f t="shared" ref="X7:X38" si="6">0.026*EXP(-0.016*E7)</f>
        <v>1.4806727392149507E-3</v>
      </c>
      <c r="Y7" s="51">
        <f t="shared" ref="Y7:Y38" si="7">(W7-(X7-X6))*(E7+1)*1*273/(273+L7)*T7/100</f>
        <v>0.77571984992558296</v>
      </c>
      <c r="Z7" s="51">
        <f>V7+Y7</f>
        <v>0.77571984992558296</v>
      </c>
      <c r="AB7" s="56">
        <f t="shared" si="3"/>
        <v>17.91</v>
      </c>
      <c r="AG7" s="27">
        <v>2.9165832999999999E-2</v>
      </c>
    </row>
    <row r="8" spans="1:33" s="27" customFormat="1" ht="20.25" customHeight="1" x14ac:dyDescent="0.3">
      <c r="A8" s="22">
        <f t="shared" ref="A8:A71" si="8">A7+1</f>
        <v>3</v>
      </c>
      <c r="B8" s="11">
        <v>41782</v>
      </c>
      <c r="C8" s="12">
        <v>0.57222222222222219</v>
      </c>
      <c r="D8" s="13">
        <v>179.2</v>
      </c>
      <c r="E8" s="14">
        <v>168.1</v>
      </c>
      <c r="F8" s="23">
        <v>0</v>
      </c>
      <c r="G8" s="16">
        <v>2</v>
      </c>
      <c r="H8" s="24"/>
      <c r="I8" s="18">
        <v>1</v>
      </c>
      <c r="J8" s="18">
        <v>1</v>
      </c>
      <c r="K8" s="19">
        <v>0</v>
      </c>
      <c r="L8" s="14">
        <v>6</v>
      </c>
      <c r="M8" s="25"/>
      <c r="N8" s="26"/>
      <c r="O8" s="48">
        <f t="shared" si="4"/>
        <v>1.000000003259629</v>
      </c>
      <c r="P8" s="51">
        <f t="shared" ref="P8:P20" si="9">P7+O8/60</f>
        <v>6.6666666709352285E-2</v>
      </c>
      <c r="Q8" s="48">
        <f t="shared" si="0"/>
        <v>0</v>
      </c>
      <c r="R8" s="49">
        <f t="shared" si="1"/>
        <v>4059</v>
      </c>
      <c r="S8" s="50">
        <f t="shared" si="2"/>
        <v>0</v>
      </c>
      <c r="T8" s="59">
        <v>97.4</v>
      </c>
      <c r="U8" s="48">
        <f t="shared" ref="U8:U20" si="10">(S8+Q8)*T8/100</f>
        <v>0</v>
      </c>
      <c r="V8" s="51">
        <f>V7+U8/1000</f>
        <v>0</v>
      </c>
      <c r="W8" s="51">
        <f t="shared" si="5"/>
        <v>8.0000000000000002E-3</v>
      </c>
      <c r="X8" s="60">
        <f t="shared" si="6"/>
        <v>1.7656105266464449E-3</v>
      </c>
      <c r="Y8" s="51">
        <f t="shared" si="7"/>
        <v>1.2433701608985117</v>
      </c>
      <c r="Z8" s="51">
        <f t="shared" ref="Z8:Z20" si="11">V8+Y8</f>
        <v>1.2433701608985117</v>
      </c>
      <c r="AB8" s="56">
        <f t="shared" si="3"/>
        <v>16.809999999999999</v>
      </c>
      <c r="AG8" s="27">
        <v>4.6665277999999998E-2</v>
      </c>
    </row>
    <row r="9" spans="1:33" s="27" customFormat="1" ht="20.25" customHeight="1" x14ac:dyDescent="0.3">
      <c r="A9" s="22">
        <f t="shared" si="8"/>
        <v>4</v>
      </c>
      <c r="B9" s="11">
        <v>41782</v>
      </c>
      <c r="C9" s="12">
        <v>0.57291666666666663</v>
      </c>
      <c r="D9" s="13">
        <v>168.2</v>
      </c>
      <c r="E9" s="14">
        <v>150.6</v>
      </c>
      <c r="F9" s="23">
        <v>0</v>
      </c>
      <c r="G9" s="16">
        <v>2</v>
      </c>
      <c r="H9" s="24"/>
      <c r="I9" s="18">
        <v>1</v>
      </c>
      <c r="J9" s="18">
        <v>1</v>
      </c>
      <c r="K9" s="19">
        <v>0</v>
      </c>
      <c r="L9" s="14">
        <v>6</v>
      </c>
      <c r="M9" s="25"/>
      <c r="N9" s="26"/>
      <c r="O9" s="48">
        <f t="shared" si="4"/>
        <v>0.99999999278225005</v>
      </c>
      <c r="P9" s="51">
        <f t="shared" si="9"/>
        <v>8.3333333255723119E-2</v>
      </c>
      <c r="Q9" s="48">
        <f t="shared" si="0"/>
        <v>0</v>
      </c>
      <c r="R9" s="49">
        <f t="shared" si="1"/>
        <v>4059</v>
      </c>
      <c r="S9" s="50">
        <f t="shared" si="2"/>
        <v>0</v>
      </c>
      <c r="T9" s="59">
        <v>97.4</v>
      </c>
      <c r="U9" s="48">
        <f t="shared" si="10"/>
        <v>0</v>
      </c>
      <c r="V9" s="51">
        <f>V8+U9/1000</f>
        <v>0</v>
      </c>
      <c r="W9" s="51">
        <f t="shared" si="5"/>
        <v>0.01</v>
      </c>
      <c r="X9" s="60">
        <f t="shared" si="6"/>
        <v>2.3361319247827144E-3</v>
      </c>
      <c r="Y9" s="51">
        <f t="shared" si="7"/>
        <v>1.3623988904287594</v>
      </c>
      <c r="Z9" s="51">
        <f t="shared" si="11"/>
        <v>1.3623988904287594</v>
      </c>
      <c r="AB9" s="56">
        <f t="shared" si="3"/>
        <v>15.059999999999999</v>
      </c>
      <c r="AG9">
        <v>6.0832777999999997E-2</v>
      </c>
    </row>
    <row r="10" spans="1:33" s="27" customFormat="1" ht="20.25" customHeight="1" x14ac:dyDescent="0.3">
      <c r="A10" s="22">
        <f t="shared" si="8"/>
        <v>5</v>
      </c>
      <c r="B10" s="11">
        <v>41782</v>
      </c>
      <c r="C10" s="12">
        <v>0.57361111111111118</v>
      </c>
      <c r="D10" s="13">
        <v>150.69999999999999</v>
      </c>
      <c r="E10" s="14">
        <v>136.30000000000001</v>
      </c>
      <c r="F10" s="23">
        <v>0</v>
      </c>
      <c r="G10" s="16">
        <v>1.5</v>
      </c>
      <c r="H10" s="24"/>
      <c r="I10" s="18">
        <v>1</v>
      </c>
      <c r="J10" s="18">
        <v>1</v>
      </c>
      <c r="K10" s="19">
        <v>0</v>
      </c>
      <c r="L10" s="14">
        <v>6</v>
      </c>
      <c r="M10" s="25"/>
      <c r="N10" s="26"/>
      <c r="O10" s="48">
        <f t="shared" si="4"/>
        <v>1.000000003259629</v>
      </c>
      <c r="P10" s="51">
        <f t="shared" si="9"/>
        <v>9.9999999976716936E-2</v>
      </c>
      <c r="Q10" s="48">
        <f t="shared" si="0"/>
        <v>0</v>
      </c>
      <c r="R10" s="49">
        <f t="shared" si="1"/>
        <v>4059</v>
      </c>
      <c r="S10" s="50">
        <f t="shared" si="2"/>
        <v>0</v>
      </c>
      <c r="T10" s="59">
        <v>97.4</v>
      </c>
      <c r="U10" s="48">
        <f t="shared" si="10"/>
        <v>0</v>
      </c>
      <c r="V10" s="51">
        <f>V9+U10/1000</f>
        <v>0</v>
      </c>
      <c r="W10" s="51">
        <f t="shared" si="5"/>
        <v>1.15E-2</v>
      </c>
      <c r="X10" s="60">
        <f t="shared" si="6"/>
        <v>2.9367294730691584E-3</v>
      </c>
      <c r="Y10" s="51">
        <f t="shared" si="7"/>
        <v>1.4262334790008726</v>
      </c>
      <c r="Z10" s="51">
        <f t="shared" si="11"/>
        <v>1.4262334790008726</v>
      </c>
      <c r="AB10" s="56">
        <f t="shared" si="3"/>
        <v>13.63</v>
      </c>
      <c r="AG10" s="27">
        <v>7.6666110999999995E-2</v>
      </c>
    </row>
    <row r="11" spans="1:33" s="27" customFormat="1" ht="20.25" customHeight="1" x14ac:dyDescent="0.3">
      <c r="A11" s="22">
        <f t="shared" si="8"/>
        <v>6</v>
      </c>
      <c r="B11" s="11">
        <v>41782</v>
      </c>
      <c r="C11" s="12">
        <v>0.57430555555555551</v>
      </c>
      <c r="D11" s="13">
        <v>136.4</v>
      </c>
      <c r="E11" s="14">
        <v>121.6</v>
      </c>
      <c r="F11" s="23">
        <v>0</v>
      </c>
      <c r="G11" s="16">
        <v>1.5</v>
      </c>
      <c r="H11" s="24"/>
      <c r="I11" s="18">
        <v>1</v>
      </c>
      <c r="J11" s="18">
        <v>1</v>
      </c>
      <c r="K11" s="19">
        <v>0</v>
      </c>
      <c r="L11" s="14">
        <v>6</v>
      </c>
      <c r="M11" s="25"/>
      <c r="N11" s="26"/>
      <c r="O11" s="48">
        <f t="shared" si="4"/>
        <v>1.000000003259629</v>
      </c>
      <c r="P11" s="51">
        <f t="shared" si="9"/>
        <v>0.11666666669771075</v>
      </c>
      <c r="Q11" s="48">
        <f t="shared" si="0"/>
        <v>0</v>
      </c>
      <c r="R11" s="49">
        <f t="shared" si="1"/>
        <v>4059</v>
      </c>
      <c r="S11" s="50">
        <f t="shared" si="2"/>
        <v>0</v>
      </c>
      <c r="T11" s="59">
        <v>97.4</v>
      </c>
      <c r="U11" s="48">
        <f t="shared" si="10"/>
        <v>0</v>
      </c>
      <c r="V11" s="51">
        <f t="shared" ref="V11:V20" si="12">V10+U11/1000</f>
        <v>0</v>
      </c>
      <c r="W11" s="51">
        <f t="shared" si="5"/>
        <v>1.2999999999999999E-2</v>
      </c>
      <c r="X11" s="60">
        <f t="shared" si="6"/>
        <v>3.7154378751527305E-3</v>
      </c>
      <c r="Y11" s="51">
        <f t="shared" si="7"/>
        <v>1.427989378854196</v>
      </c>
      <c r="Z11" s="51">
        <f t="shared" si="11"/>
        <v>1.427989378854196</v>
      </c>
      <c r="AB11" s="56">
        <f t="shared" si="3"/>
        <v>12.16</v>
      </c>
      <c r="AG11" s="27">
        <v>9.8332500000000003E-2</v>
      </c>
    </row>
    <row r="12" spans="1:33" s="27" customFormat="1" ht="20.25" customHeight="1" x14ac:dyDescent="0.3">
      <c r="A12" s="22">
        <f t="shared" si="8"/>
        <v>7</v>
      </c>
      <c r="B12" s="11">
        <v>41782</v>
      </c>
      <c r="C12" s="12">
        <v>0.5756944444444444</v>
      </c>
      <c r="D12" s="13">
        <v>121.9</v>
      </c>
      <c r="E12" s="14">
        <v>110.7</v>
      </c>
      <c r="F12" s="23">
        <v>0</v>
      </c>
      <c r="G12" s="16">
        <v>1</v>
      </c>
      <c r="H12" s="24"/>
      <c r="I12" s="18">
        <v>1</v>
      </c>
      <c r="J12" s="18">
        <v>1</v>
      </c>
      <c r="K12" s="19">
        <v>0</v>
      </c>
      <c r="L12" s="14">
        <v>6</v>
      </c>
      <c r="M12" s="25"/>
      <c r="N12" s="26"/>
      <c r="O12" s="48">
        <f t="shared" si="4"/>
        <v>1.9999999960418791</v>
      </c>
      <c r="P12" s="51">
        <f t="shared" si="9"/>
        <v>0.1499999999650754</v>
      </c>
      <c r="Q12" s="48">
        <f t="shared" si="0"/>
        <v>0</v>
      </c>
      <c r="R12" s="49">
        <f t="shared" si="1"/>
        <v>4059</v>
      </c>
      <c r="S12" s="50">
        <f t="shared" si="2"/>
        <v>0</v>
      </c>
      <c r="T12" s="59">
        <v>97.4</v>
      </c>
      <c r="U12" s="48">
        <f t="shared" si="10"/>
        <v>0</v>
      </c>
      <c r="V12" s="51">
        <f t="shared" si="12"/>
        <v>0</v>
      </c>
      <c r="W12" s="51">
        <f t="shared" si="5"/>
        <v>1.3999999999999999E-2</v>
      </c>
      <c r="X12" s="60">
        <f t="shared" si="6"/>
        <v>4.4233465075677715E-3</v>
      </c>
      <c r="Y12" s="51">
        <f t="shared" si="7"/>
        <v>1.4150242792996179</v>
      </c>
      <c r="Z12" s="51">
        <f t="shared" si="11"/>
        <v>1.4150242792996179</v>
      </c>
      <c r="AB12" s="56">
        <f t="shared" si="3"/>
        <v>11.07</v>
      </c>
      <c r="AG12" s="27">
        <v>0.139723611</v>
      </c>
    </row>
    <row r="13" spans="1:33" s="27" customFormat="1" ht="20.25" customHeight="1" x14ac:dyDescent="0.3">
      <c r="A13" s="22">
        <f t="shared" si="8"/>
        <v>8</v>
      </c>
      <c r="B13" s="11">
        <v>41782</v>
      </c>
      <c r="C13" s="12">
        <v>0.57638888888888895</v>
      </c>
      <c r="D13" s="13">
        <v>110.8</v>
      </c>
      <c r="E13" s="14">
        <v>96</v>
      </c>
      <c r="F13" s="23">
        <v>0</v>
      </c>
      <c r="G13" s="16">
        <v>1</v>
      </c>
      <c r="H13" s="24"/>
      <c r="I13" s="18">
        <v>1</v>
      </c>
      <c r="J13" s="18">
        <v>1</v>
      </c>
      <c r="K13" s="19">
        <v>0</v>
      </c>
      <c r="L13" s="14">
        <v>6</v>
      </c>
      <c r="M13" s="25"/>
      <c r="N13" s="26"/>
      <c r="O13" s="48">
        <f t="shared" si="4"/>
        <v>1.000000003259629</v>
      </c>
      <c r="P13" s="51">
        <f t="shared" si="9"/>
        <v>0.16666666668606922</v>
      </c>
      <c r="Q13" s="48">
        <f t="shared" si="0"/>
        <v>0</v>
      </c>
      <c r="R13" s="49">
        <f t="shared" si="1"/>
        <v>4059</v>
      </c>
      <c r="S13" s="50">
        <f t="shared" si="2"/>
        <v>0</v>
      </c>
      <c r="T13" s="59">
        <v>97.4</v>
      </c>
      <c r="U13" s="48">
        <f t="shared" si="10"/>
        <v>0</v>
      </c>
      <c r="V13" s="51">
        <f t="shared" si="12"/>
        <v>0</v>
      </c>
      <c r="W13" s="51">
        <f t="shared" si="5"/>
        <v>1.4999999999999999E-2</v>
      </c>
      <c r="X13" s="60">
        <f t="shared" si="6"/>
        <v>5.5962489224334567E-3</v>
      </c>
      <c r="Y13" s="51">
        <f t="shared" si="7"/>
        <v>1.2782628369247</v>
      </c>
      <c r="Z13" s="51">
        <f t="shared" si="11"/>
        <v>1.2782628369247</v>
      </c>
      <c r="AB13" s="56">
        <f t="shared" si="3"/>
        <v>9.6</v>
      </c>
      <c r="AG13" s="27">
        <v>0.15250055600000001</v>
      </c>
    </row>
    <row r="14" spans="1:33" s="27" customFormat="1" ht="20.25" customHeight="1" x14ac:dyDescent="0.3">
      <c r="A14" s="22">
        <f t="shared" si="8"/>
        <v>9</v>
      </c>
      <c r="B14" s="11">
        <v>41782</v>
      </c>
      <c r="C14" s="12">
        <v>0.57708333333333328</v>
      </c>
      <c r="D14" s="13">
        <v>96.1</v>
      </c>
      <c r="E14" s="14">
        <v>84.2</v>
      </c>
      <c r="F14" s="23">
        <v>0</v>
      </c>
      <c r="G14" s="16">
        <v>1</v>
      </c>
      <c r="H14" s="24"/>
      <c r="I14" s="18">
        <v>1</v>
      </c>
      <c r="J14" s="18">
        <v>1</v>
      </c>
      <c r="K14" s="19">
        <v>0</v>
      </c>
      <c r="L14" s="14">
        <v>6</v>
      </c>
      <c r="M14" s="25"/>
      <c r="N14" s="26"/>
      <c r="O14" s="48">
        <f t="shared" si="4"/>
        <v>0.99999999278225005</v>
      </c>
      <c r="P14" s="51">
        <f t="shared" si="9"/>
        <v>0.18333333323244005</v>
      </c>
      <c r="Q14" s="48">
        <f t="shared" si="0"/>
        <v>0</v>
      </c>
      <c r="R14" s="49">
        <f t="shared" si="1"/>
        <v>4059</v>
      </c>
      <c r="S14" s="50">
        <f t="shared" si="2"/>
        <v>0</v>
      </c>
      <c r="T14" s="59">
        <v>97.4</v>
      </c>
      <c r="U14" s="48">
        <f t="shared" si="10"/>
        <v>0</v>
      </c>
      <c r="V14" s="51">
        <f t="shared" si="12"/>
        <v>0</v>
      </c>
      <c r="W14" s="51">
        <f t="shared" si="5"/>
        <v>1.6E-2</v>
      </c>
      <c r="X14" s="60">
        <f t="shared" si="6"/>
        <v>6.7591459142131516E-3</v>
      </c>
      <c r="Y14" s="51">
        <f t="shared" si="7"/>
        <v>1.2047754445183549</v>
      </c>
      <c r="Z14" s="51">
        <f t="shared" si="11"/>
        <v>1.2047754445183549</v>
      </c>
      <c r="AB14" s="56">
        <f t="shared" si="3"/>
        <v>8.42</v>
      </c>
      <c r="AG14" s="27">
        <v>0.16389111100000001</v>
      </c>
    </row>
    <row r="15" spans="1:33" s="27" customFormat="1" ht="20.25" customHeight="1" x14ac:dyDescent="0.3">
      <c r="A15" s="22">
        <f t="shared" si="8"/>
        <v>10</v>
      </c>
      <c r="B15" s="11">
        <v>41782</v>
      </c>
      <c r="C15" s="12">
        <v>0.57777777777777783</v>
      </c>
      <c r="D15" s="13">
        <v>84.4</v>
      </c>
      <c r="E15" s="14">
        <v>75.400000000000006</v>
      </c>
      <c r="F15" s="23">
        <v>0</v>
      </c>
      <c r="G15" s="16">
        <v>1</v>
      </c>
      <c r="H15" s="24"/>
      <c r="I15" s="18">
        <v>1</v>
      </c>
      <c r="J15" s="18">
        <v>1</v>
      </c>
      <c r="K15" s="19">
        <v>0</v>
      </c>
      <c r="L15" s="14">
        <v>6</v>
      </c>
      <c r="M15" s="25"/>
      <c r="N15" s="26"/>
      <c r="O15" s="48">
        <f t="shared" si="4"/>
        <v>1.000000003259629</v>
      </c>
      <c r="P15" s="51">
        <f t="shared" si="9"/>
        <v>0.19999999995343387</v>
      </c>
      <c r="Q15" s="48">
        <f t="shared" si="0"/>
        <v>0</v>
      </c>
      <c r="R15" s="49">
        <f t="shared" si="1"/>
        <v>4059</v>
      </c>
      <c r="S15" s="50">
        <f t="shared" si="2"/>
        <v>0</v>
      </c>
      <c r="T15" s="59">
        <v>97.4</v>
      </c>
      <c r="U15" s="48">
        <f t="shared" si="10"/>
        <v>0</v>
      </c>
      <c r="V15" s="51">
        <f t="shared" si="12"/>
        <v>0</v>
      </c>
      <c r="W15" s="51">
        <f t="shared" si="5"/>
        <v>1.7000000000000001E-2</v>
      </c>
      <c r="X15" s="60">
        <f t="shared" si="6"/>
        <v>7.7810908311519772E-3</v>
      </c>
      <c r="Y15" s="51">
        <f t="shared" si="7"/>
        <v>1.1634150384443891</v>
      </c>
      <c r="Z15" s="51">
        <f t="shared" si="11"/>
        <v>1.1634150384443891</v>
      </c>
      <c r="AB15" s="56">
        <f t="shared" si="3"/>
        <v>7.5400000000000009</v>
      </c>
      <c r="AG15" s="27">
        <v>0.18250111099999999</v>
      </c>
    </row>
    <row r="16" spans="1:33" s="27" customFormat="1" ht="20.25" customHeight="1" x14ac:dyDescent="0.3">
      <c r="A16" s="22">
        <f t="shared" si="8"/>
        <v>11</v>
      </c>
      <c r="B16" s="11">
        <v>41782</v>
      </c>
      <c r="C16" s="12">
        <v>0.57847222222222217</v>
      </c>
      <c r="D16" s="13">
        <v>75.599999999999994</v>
      </c>
      <c r="E16" s="14">
        <v>64.8</v>
      </c>
      <c r="F16" s="23">
        <v>0</v>
      </c>
      <c r="G16" s="16">
        <v>1</v>
      </c>
      <c r="H16" s="24"/>
      <c r="I16" s="18">
        <v>1</v>
      </c>
      <c r="J16" s="18">
        <v>1</v>
      </c>
      <c r="K16" s="19">
        <v>0</v>
      </c>
      <c r="L16" s="14">
        <v>6</v>
      </c>
      <c r="M16" s="25"/>
      <c r="N16" s="26"/>
      <c r="O16" s="48">
        <f t="shared" si="4"/>
        <v>1.000000003259629</v>
      </c>
      <c r="P16" s="51">
        <f t="shared" si="9"/>
        <v>0.21666666667442769</v>
      </c>
      <c r="Q16" s="48">
        <f t="shared" si="0"/>
        <v>0</v>
      </c>
      <c r="R16" s="49">
        <f t="shared" si="1"/>
        <v>4059</v>
      </c>
      <c r="S16" s="50">
        <f t="shared" si="2"/>
        <v>0</v>
      </c>
      <c r="T16" s="59">
        <v>97.4</v>
      </c>
      <c r="U16" s="48">
        <f t="shared" si="10"/>
        <v>0</v>
      </c>
      <c r="V16" s="51">
        <f t="shared" si="12"/>
        <v>0</v>
      </c>
      <c r="W16" s="51">
        <f t="shared" si="5"/>
        <v>1.8000000000000002E-2</v>
      </c>
      <c r="X16" s="60">
        <f t="shared" si="6"/>
        <v>9.2192762625833719E-3</v>
      </c>
      <c r="Y16" s="51">
        <f t="shared" si="7"/>
        <v>1.0386069205221455</v>
      </c>
      <c r="Z16" s="51">
        <f t="shared" si="11"/>
        <v>1.0386069205221455</v>
      </c>
      <c r="AB16" s="56">
        <f t="shared" si="3"/>
        <v>6.4799999999999995</v>
      </c>
      <c r="AG16" s="27">
        <v>0.19472305500000001</v>
      </c>
    </row>
    <row r="17" spans="1:33" s="27" customFormat="1" ht="20.25" customHeight="1" x14ac:dyDescent="0.3">
      <c r="A17" s="22">
        <f t="shared" si="8"/>
        <v>12</v>
      </c>
      <c r="B17" s="11">
        <v>41782</v>
      </c>
      <c r="C17" s="12">
        <v>0.57916666666666672</v>
      </c>
      <c r="D17" s="13">
        <v>64.900000000000006</v>
      </c>
      <c r="E17" s="14">
        <v>62.3</v>
      </c>
      <c r="F17" s="23">
        <v>0</v>
      </c>
      <c r="G17" s="16">
        <v>1</v>
      </c>
      <c r="H17" s="24"/>
      <c r="I17" s="18">
        <v>1</v>
      </c>
      <c r="J17" s="18">
        <v>1</v>
      </c>
      <c r="K17" s="19">
        <v>0</v>
      </c>
      <c r="L17" s="14">
        <v>6</v>
      </c>
      <c r="M17" s="25"/>
      <c r="N17" s="26"/>
      <c r="O17" s="48">
        <f t="shared" si="4"/>
        <v>1.000000003259629</v>
      </c>
      <c r="P17" s="51">
        <f t="shared" si="9"/>
        <v>0.2333333333954215</v>
      </c>
      <c r="Q17" s="48">
        <f t="shared" si="0"/>
        <v>0</v>
      </c>
      <c r="R17" s="49">
        <f t="shared" si="1"/>
        <v>4059</v>
      </c>
      <c r="S17" s="50">
        <f t="shared" si="2"/>
        <v>0</v>
      </c>
      <c r="T17" s="59">
        <v>97.4</v>
      </c>
      <c r="U17" s="48">
        <f t="shared" si="10"/>
        <v>0</v>
      </c>
      <c r="V17" s="51">
        <f t="shared" si="12"/>
        <v>0</v>
      </c>
      <c r="W17" s="51">
        <f t="shared" si="5"/>
        <v>1.9000000000000003E-2</v>
      </c>
      <c r="X17" s="60">
        <f t="shared" si="6"/>
        <v>9.5955220643529071E-3</v>
      </c>
      <c r="Y17" s="51">
        <f t="shared" si="7"/>
        <v>1.1235394904737332</v>
      </c>
      <c r="Z17" s="51">
        <f t="shared" si="11"/>
        <v>1.1235394904737332</v>
      </c>
      <c r="AB17" s="56">
        <f t="shared" si="3"/>
        <v>6.2299999999999995</v>
      </c>
      <c r="AG17" s="27">
        <v>0.209445833</v>
      </c>
    </row>
    <row r="18" spans="1:33" s="27" customFormat="1" ht="20.25" customHeight="1" x14ac:dyDescent="0.3">
      <c r="A18" s="22">
        <f t="shared" si="8"/>
        <v>13</v>
      </c>
      <c r="B18" s="11">
        <v>41782</v>
      </c>
      <c r="C18" s="12">
        <v>0.57986111111111105</v>
      </c>
      <c r="D18" s="13">
        <v>62.8</v>
      </c>
      <c r="E18" s="14">
        <v>60.7</v>
      </c>
      <c r="F18" s="23">
        <v>0</v>
      </c>
      <c r="G18" s="16">
        <v>1</v>
      </c>
      <c r="H18" s="24"/>
      <c r="I18" s="18">
        <v>1</v>
      </c>
      <c r="J18" s="18">
        <v>1</v>
      </c>
      <c r="K18" s="19">
        <v>0</v>
      </c>
      <c r="L18" s="14">
        <v>6</v>
      </c>
      <c r="M18" s="25"/>
      <c r="N18" s="26"/>
      <c r="O18" s="48">
        <f t="shared" si="4"/>
        <v>0.99999999278225005</v>
      </c>
      <c r="P18" s="51">
        <f t="shared" si="9"/>
        <v>0.24999999994179234</v>
      </c>
      <c r="Q18" s="48">
        <f t="shared" si="0"/>
        <v>0</v>
      </c>
      <c r="R18" s="49">
        <f t="shared" si="1"/>
        <v>4059</v>
      </c>
      <c r="S18" s="50">
        <f t="shared" si="2"/>
        <v>0</v>
      </c>
      <c r="T18" s="59">
        <v>97.4</v>
      </c>
      <c r="U18" s="48">
        <f t="shared" si="10"/>
        <v>0</v>
      </c>
      <c r="V18" s="51">
        <f t="shared" si="12"/>
        <v>0</v>
      </c>
      <c r="W18" s="51">
        <f t="shared" si="5"/>
        <v>2.0000000000000004E-2</v>
      </c>
      <c r="X18" s="60">
        <f t="shared" si="6"/>
        <v>9.8443386934962927E-3</v>
      </c>
      <c r="Y18" s="51">
        <f t="shared" si="7"/>
        <v>1.1614370760351354</v>
      </c>
      <c r="Z18" s="51">
        <f t="shared" si="11"/>
        <v>1.1614370760351354</v>
      </c>
      <c r="AB18" s="56">
        <f t="shared" si="3"/>
        <v>6.07</v>
      </c>
      <c r="AG18" s="27">
        <v>0.23083277799999999</v>
      </c>
    </row>
    <row r="19" spans="1:33" s="27" customFormat="1" ht="20.25" customHeight="1" x14ac:dyDescent="0.3">
      <c r="A19" s="22">
        <f t="shared" si="8"/>
        <v>14</v>
      </c>
      <c r="B19" s="11">
        <v>41782</v>
      </c>
      <c r="C19" s="12">
        <v>0.5805555555555556</v>
      </c>
      <c r="D19" s="13">
        <v>60.8</v>
      </c>
      <c r="E19" s="14">
        <v>58.9</v>
      </c>
      <c r="F19" s="23">
        <v>0</v>
      </c>
      <c r="G19" s="16">
        <v>0.5</v>
      </c>
      <c r="H19" s="24"/>
      <c r="I19" s="18">
        <v>1</v>
      </c>
      <c r="J19" s="18">
        <v>1</v>
      </c>
      <c r="K19" s="19">
        <v>0</v>
      </c>
      <c r="L19" s="14">
        <v>6</v>
      </c>
      <c r="M19" s="25"/>
      <c r="N19" s="26"/>
      <c r="O19" s="48">
        <f t="shared" si="4"/>
        <v>1.000000003259629</v>
      </c>
      <c r="P19" s="51">
        <f t="shared" si="9"/>
        <v>0.26666666666278616</v>
      </c>
      <c r="Q19" s="48">
        <f t="shared" si="0"/>
        <v>0</v>
      </c>
      <c r="R19" s="49">
        <f t="shared" si="1"/>
        <v>4059</v>
      </c>
      <c r="S19" s="50">
        <f t="shared" si="2"/>
        <v>0</v>
      </c>
      <c r="T19" s="59">
        <v>97.4</v>
      </c>
      <c r="U19" s="48">
        <f t="shared" si="10"/>
        <v>0</v>
      </c>
      <c r="V19" s="51">
        <f t="shared" si="12"/>
        <v>0</v>
      </c>
      <c r="W19" s="51">
        <f t="shared" si="5"/>
        <v>2.0500000000000004E-2</v>
      </c>
      <c r="X19" s="60">
        <f t="shared" si="6"/>
        <v>1.0131977769221352E-2</v>
      </c>
      <c r="Y19" s="51">
        <f t="shared" si="7"/>
        <v>1.1538816521496229</v>
      </c>
      <c r="Z19" s="51">
        <f t="shared" si="11"/>
        <v>1.1538816521496229</v>
      </c>
      <c r="AB19" s="56">
        <f t="shared" si="3"/>
        <v>5.89</v>
      </c>
      <c r="AG19" s="27">
        <v>0.248331944</v>
      </c>
    </row>
    <row r="20" spans="1:33" s="27" customFormat="1" ht="20.25" customHeight="1" x14ac:dyDescent="0.3">
      <c r="A20" s="22">
        <f t="shared" si="8"/>
        <v>15</v>
      </c>
      <c r="B20" s="11">
        <v>41782</v>
      </c>
      <c r="C20" s="12">
        <v>0.58124999999999993</v>
      </c>
      <c r="D20" s="13">
        <v>59</v>
      </c>
      <c r="E20" s="14">
        <v>57.3</v>
      </c>
      <c r="F20" s="23">
        <v>0</v>
      </c>
      <c r="G20" s="16">
        <v>0.5</v>
      </c>
      <c r="H20" s="24"/>
      <c r="I20" s="18">
        <v>1</v>
      </c>
      <c r="J20" s="18">
        <v>1</v>
      </c>
      <c r="K20" s="19">
        <v>0</v>
      </c>
      <c r="L20" s="14">
        <v>6</v>
      </c>
      <c r="M20" s="25"/>
      <c r="N20" s="26"/>
      <c r="O20" s="48">
        <f t="shared" si="4"/>
        <v>1.000000003259629</v>
      </c>
      <c r="P20" s="51">
        <f t="shared" si="9"/>
        <v>0.28333333338377997</v>
      </c>
      <c r="Q20" s="48">
        <f t="shared" si="0"/>
        <v>0</v>
      </c>
      <c r="R20" s="49">
        <f t="shared" si="1"/>
        <v>4059</v>
      </c>
      <c r="S20" s="50">
        <f t="shared" si="2"/>
        <v>0</v>
      </c>
      <c r="T20" s="59">
        <v>97.4</v>
      </c>
      <c r="U20" s="48">
        <f t="shared" si="10"/>
        <v>0</v>
      </c>
      <c r="V20" s="51">
        <f t="shared" si="12"/>
        <v>0</v>
      </c>
      <c r="W20" s="51">
        <f t="shared" si="5"/>
        <v>2.1000000000000005E-2</v>
      </c>
      <c r="X20" s="60">
        <f t="shared" si="6"/>
        <v>1.0394704959903226E-2</v>
      </c>
      <c r="Y20" s="51">
        <f t="shared" si="7"/>
        <v>1.1522258026447132</v>
      </c>
      <c r="Z20" s="51">
        <f t="shared" si="11"/>
        <v>1.1522258026447132</v>
      </c>
      <c r="AB20" s="56">
        <f t="shared" si="3"/>
        <v>5.7299999999999995</v>
      </c>
      <c r="AG20" s="27">
        <v>0.26222416700000001</v>
      </c>
    </row>
    <row r="21" spans="1:33" s="27" customFormat="1" ht="20.25" customHeight="1" x14ac:dyDescent="0.3">
      <c r="A21" s="22">
        <f t="shared" si="8"/>
        <v>16</v>
      </c>
      <c r="B21" s="11">
        <v>41782</v>
      </c>
      <c r="C21" s="57">
        <v>0.58194444444444449</v>
      </c>
      <c r="D21" s="13">
        <v>57.4</v>
      </c>
      <c r="E21" s="14">
        <v>55.6</v>
      </c>
      <c r="F21" s="23">
        <v>0</v>
      </c>
      <c r="G21" s="16">
        <v>1</v>
      </c>
      <c r="H21" s="24"/>
      <c r="I21" s="18">
        <v>1</v>
      </c>
      <c r="J21" s="18">
        <v>1</v>
      </c>
      <c r="K21" s="19">
        <v>0</v>
      </c>
      <c r="L21" s="14">
        <v>6</v>
      </c>
      <c r="M21" s="25"/>
      <c r="N21" s="26"/>
      <c r="O21" s="48">
        <f t="shared" si="4"/>
        <v>0.99999999278225005</v>
      </c>
      <c r="P21" s="51">
        <f t="shared" ref="P21:P28" si="13">P20+O21/60</f>
        <v>0.29999999993015081</v>
      </c>
      <c r="Q21" s="48">
        <f t="shared" si="0"/>
        <v>0</v>
      </c>
      <c r="R21" s="49">
        <f t="shared" si="1"/>
        <v>4059</v>
      </c>
      <c r="S21" s="50">
        <f t="shared" si="2"/>
        <v>0</v>
      </c>
      <c r="T21" s="59">
        <v>97.4</v>
      </c>
      <c r="U21" s="48">
        <f t="shared" ref="U21:U28" si="14">(S21+Q21)*T21/100</f>
        <v>0</v>
      </c>
      <c r="V21" s="51">
        <f t="shared" ref="V21:V28" si="15">V20+U21/1000</f>
        <v>0</v>
      </c>
      <c r="W21" s="51">
        <f t="shared" si="5"/>
        <v>2.2000000000000006E-2</v>
      </c>
      <c r="X21" s="60">
        <f t="shared" si="6"/>
        <v>1.0681321245667471E-2</v>
      </c>
      <c r="Y21" s="51">
        <f t="shared" si="7"/>
        <v>1.1712816489292539</v>
      </c>
      <c r="Z21" s="51">
        <f t="shared" ref="Z21:Z28" si="16">V21+Y21</f>
        <v>1.1712816489292539</v>
      </c>
      <c r="AB21" s="56">
        <f t="shared" si="3"/>
        <v>5.5600000000000005</v>
      </c>
      <c r="AG21" s="27">
        <v>0.27639111100000002</v>
      </c>
    </row>
    <row r="22" spans="1:33" ht="20.25" customHeight="1" x14ac:dyDescent="0.3">
      <c r="A22" s="22">
        <f t="shared" si="8"/>
        <v>17</v>
      </c>
      <c r="B22" s="11">
        <v>41782</v>
      </c>
      <c r="C22" s="57">
        <v>0.58263888888888882</v>
      </c>
      <c r="D22" s="13">
        <v>55.7</v>
      </c>
      <c r="E22" s="14">
        <v>53.9</v>
      </c>
      <c r="F22" s="23">
        <v>0</v>
      </c>
      <c r="G22" s="16">
        <v>0.5</v>
      </c>
      <c r="H22" s="24"/>
      <c r="I22" s="18">
        <v>1</v>
      </c>
      <c r="J22" s="18">
        <v>1</v>
      </c>
      <c r="K22" s="19">
        <v>0</v>
      </c>
      <c r="L22" s="14">
        <v>6</v>
      </c>
      <c r="M22" s="25"/>
      <c r="N22" s="26"/>
      <c r="O22" s="48">
        <f t="shared" si="4"/>
        <v>1.000000003259629</v>
      </c>
      <c r="P22" s="51">
        <f t="shared" si="13"/>
        <v>0.31666666665114462</v>
      </c>
      <c r="Q22" s="48">
        <f t="shared" si="0"/>
        <v>0</v>
      </c>
      <c r="R22" s="49">
        <f t="shared" si="1"/>
        <v>4059</v>
      </c>
      <c r="S22" s="50">
        <f t="shared" si="2"/>
        <v>0</v>
      </c>
      <c r="T22" s="59">
        <v>97.4</v>
      </c>
      <c r="U22" s="48">
        <f t="shared" si="14"/>
        <v>0</v>
      </c>
      <c r="V22" s="51">
        <f t="shared" si="15"/>
        <v>0</v>
      </c>
      <c r="W22" s="51">
        <f t="shared" si="5"/>
        <v>2.2500000000000006E-2</v>
      </c>
      <c r="X22" s="60">
        <f t="shared" si="6"/>
        <v>1.0975840487367666E-2</v>
      </c>
      <c r="Y22" s="51">
        <f t="shared" si="7"/>
        <v>1.1618496336135471</v>
      </c>
      <c r="Z22" s="51">
        <f t="shared" si="16"/>
        <v>1.1618496336135471</v>
      </c>
      <c r="AB22" s="56">
        <f t="shared" si="3"/>
        <v>5.39</v>
      </c>
      <c r="AG22" s="3">
        <v>0.30694305500000002</v>
      </c>
    </row>
    <row r="23" spans="1:33" ht="20.25" customHeight="1" x14ac:dyDescent="0.3">
      <c r="A23" s="22">
        <f t="shared" si="8"/>
        <v>18</v>
      </c>
      <c r="B23" s="11">
        <v>41782</v>
      </c>
      <c r="C23" s="57">
        <v>0.58333333333333337</v>
      </c>
      <c r="D23" s="13">
        <v>54</v>
      </c>
      <c r="E23" s="14">
        <v>52</v>
      </c>
      <c r="F23" s="23">
        <v>0</v>
      </c>
      <c r="G23" s="16">
        <v>0</v>
      </c>
      <c r="H23" s="24"/>
      <c r="I23" s="18">
        <v>1</v>
      </c>
      <c r="J23" s="18">
        <v>1</v>
      </c>
      <c r="K23" s="19">
        <v>0</v>
      </c>
      <c r="L23" s="14">
        <v>6</v>
      </c>
      <c r="M23" s="25"/>
      <c r="N23" s="26"/>
      <c r="O23" s="48">
        <f t="shared" si="4"/>
        <v>1.000000003259629</v>
      </c>
      <c r="P23" s="51">
        <f t="shared" si="13"/>
        <v>0.33333333337213844</v>
      </c>
      <c r="Q23" s="48">
        <f t="shared" si="0"/>
        <v>0</v>
      </c>
      <c r="R23" s="49">
        <f t="shared" si="1"/>
        <v>4059</v>
      </c>
      <c r="S23" s="50">
        <f t="shared" si="2"/>
        <v>0</v>
      </c>
      <c r="T23" s="59">
        <v>97.4</v>
      </c>
      <c r="U23" s="48">
        <f t="shared" si="14"/>
        <v>0</v>
      </c>
      <c r="V23" s="51">
        <f t="shared" si="15"/>
        <v>0</v>
      </c>
      <c r="W23" s="51">
        <f t="shared" si="5"/>
        <v>2.2500000000000006E-2</v>
      </c>
      <c r="X23" s="60">
        <f t="shared" si="6"/>
        <v>1.1314629540925273E-2</v>
      </c>
      <c r="Y23" s="51">
        <f t="shared" si="7"/>
        <v>1.1194037512304269</v>
      </c>
      <c r="Z23" s="51">
        <f t="shared" si="16"/>
        <v>1.1194037512304269</v>
      </c>
      <c r="AB23" s="56">
        <f t="shared" si="3"/>
        <v>5.2</v>
      </c>
      <c r="AG23" s="3">
        <v>0.32194583300000001</v>
      </c>
    </row>
    <row r="24" spans="1:33" ht="20.25" customHeight="1" x14ac:dyDescent="0.3">
      <c r="A24" s="22">
        <f t="shared" si="8"/>
        <v>19</v>
      </c>
      <c r="B24" s="11">
        <v>41782</v>
      </c>
      <c r="C24" s="57">
        <v>0.58402777777777781</v>
      </c>
      <c r="D24" s="13">
        <v>52.1</v>
      </c>
      <c r="E24" s="14">
        <v>50.1</v>
      </c>
      <c r="F24" s="23">
        <v>0</v>
      </c>
      <c r="G24" s="16">
        <v>0.5</v>
      </c>
      <c r="H24" s="24"/>
      <c r="I24" s="18">
        <v>1</v>
      </c>
      <c r="J24" s="18">
        <v>1</v>
      </c>
      <c r="K24" s="19">
        <v>0</v>
      </c>
      <c r="L24" s="14">
        <v>6</v>
      </c>
      <c r="M24" s="25"/>
      <c r="N24" s="26"/>
      <c r="O24" s="48">
        <f t="shared" si="4"/>
        <v>0.99999999278225005</v>
      </c>
      <c r="P24" s="51">
        <f t="shared" si="13"/>
        <v>0.34999999991850927</v>
      </c>
      <c r="Q24" s="48">
        <f t="shared" si="0"/>
        <v>0</v>
      </c>
      <c r="R24" s="49">
        <f t="shared" si="1"/>
        <v>4059</v>
      </c>
      <c r="S24" s="50">
        <f t="shared" si="2"/>
        <v>0</v>
      </c>
      <c r="T24" s="59">
        <v>97.4</v>
      </c>
      <c r="U24" s="48">
        <f t="shared" si="14"/>
        <v>0</v>
      </c>
      <c r="V24" s="51">
        <f t="shared" si="15"/>
        <v>0</v>
      </c>
      <c r="W24" s="51">
        <f t="shared" si="5"/>
        <v>2.3000000000000007E-2</v>
      </c>
      <c r="X24" s="60">
        <f t="shared" si="6"/>
        <v>1.1663875927836308E-2</v>
      </c>
      <c r="Y24" s="51">
        <f t="shared" si="7"/>
        <v>1.1031154233596043</v>
      </c>
      <c r="Z24" s="51">
        <f t="shared" si="16"/>
        <v>1.1031154233596043</v>
      </c>
      <c r="AB24" s="56">
        <f t="shared" si="3"/>
        <v>5.01</v>
      </c>
      <c r="AG24" s="3">
        <v>0.33611305600000002</v>
      </c>
    </row>
    <row r="25" spans="1:33" ht="20.25" customHeight="1" x14ac:dyDescent="0.3">
      <c r="A25" s="22">
        <f t="shared" si="8"/>
        <v>20</v>
      </c>
      <c r="B25" s="11">
        <v>41782</v>
      </c>
      <c r="C25" s="57">
        <v>0.58472222222222225</v>
      </c>
      <c r="D25" s="13">
        <v>50.2</v>
      </c>
      <c r="E25" s="14">
        <v>48.6</v>
      </c>
      <c r="F25" s="23">
        <v>0</v>
      </c>
      <c r="G25" s="16">
        <v>0.5</v>
      </c>
      <c r="H25" s="24"/>
      <c r="I25" s="18">
        <v>1</v>
      </c>
      <c r="J25" s="18">
        <v>1</v>
      </c>
      <c r="K25" s="19">
        <v>0</v>
      </c>
      <c r="L25" s="14">
        <v>6</v>
      </c>
      <c r="M25" s="25"/>
      <c r="N25" s="26" t="s">
        <v>42</v>
      </c>
      <c r="O25" s="48">
        <f t="shared" si="4"/>
        <v>1.000000003259629</v>
      </c>
      <c r="P25" s="51">
        <f t="shared" si="13"/>
        <v>0.36666666663950309</v>
      </c>
      <c r="Q25" s="48">
        <f t="shared" si="0"/>
        <v>0</v>
      </c>
      <c r="R25" s="49">
        <f t="shared" si="1"/>
        <v>4059</v>
      </c>
      <c r="S25" s="50">
        <f t="shared" si="2"/>
        <v>0</v>
      </c>
      <c r="T25" s="59">
        <v>97.4</v>
      </c>
      <c r="U25" s="48">
        <f t="shared" si="14"/>
        <v>0</v>
      </c>
      <c r="V25" s="51">
        <f t="shared" si="15"/>
        <v>0</v>
      </c>
      <c r="W25" s="51">
        <f t="shared" si="5"/>
        <v>2.3500000000000007E-2</v>
      </c>
      <c r="X25" s="60">
        <f t="shared" si="6"/>
        <v>1.194719518196022E-2</v>
      </c>
      <c r="Y25" s="51">
        <f t="shared" si="7"/>
        <v>1.0974865499893236</v>
      </c>
      <c r="Z25" s="51">
        <f t="shared" si="16"/>
        <v>1.0974865499893236</v>
      </c>
      <c r="AB25" s="56">
        <f t="shared" si="3"/>
        <v>4.8600000000000003</v>
      </c>
      <c r="AG25" s="3">
        <v>0.34805444400000002</v>
      </c>
    </row>
    <row r="26" spans="1:33" ht="20.25" customHeight="1" x14ac:dyDescent="0.3">
      <c r="A26" s="22">
        <f t="shared" si="8"/>
        <v>21</v>
      </c>
      <c r="B26" s="11">
        <v>41782</v>
      </c>
      <c r="C26" s="57">
        <v>0.58680555555555558</v>
      </c>
      <c r="D26" s="13">
        <v>50.7</v>
      </c>
      <c r="E26" s="14">
        <v>49</v>
      </c>
      <c r="F26" s="23">
        <v>0</v>
      </c>
      <c r="G26" s="16">
        <v>0.5</v>
      </c>
      <c r="H26" s="24"/>
      <c r="I26" s="18">
        <v>1</v>
      </c>
      <c r="J26" s="18">
        <v>1</v>
      </c>
      <c r="K26" s="19">
        <v>0</v>
      </c>
      <c r="L26" s="14">
        <v>6</v>
      </c>
      <c r="M26" s="25"/>
      <c r="N26" s="26"/>
      <c r="O26" s="48">
        <f t="shared" si="4"/>
        <v>2.9999999993015081</v>
      </c>
      <c r="P26" s="51">
        <f t="shared" si="13"/>
        <v>0.41666666662786156</v>
      </c>
      <c r="Q26" s="48">
        <f t="shared" si="0"/>
        <v>0</v>
      </c>
      <c r="R26" s="49">
        <f t="shared" si="1"/>
        <v>4059</v>
      </c>
      <c r="S26" s="50">
        <f t="shared" si="2"/>
        <v>0</v>
      </c>
      <c r="T26" s="59">
        <v>97.4</v>
      </c>
      <c r="U26" s="48">
        <f t="shared" si="14"/>
        <v>0</v>
      </c>
      <c r="V26" s="51">
        <f t="shared" si="15"/>
        <v>0</v>
      </c>
      <c r="W26" s="51">
        <f t="shared" si="5"/>
        <v>2.4000000000000007E-2</v>
      </c>
      <c r="X26" s="60">
        <f t="shared" si="6"/>
        <v>1.1870977290206182E-2</v>
      </c>
      <c r="Y26" s="51">
        <f t="shared" si="7"/>
        <v>1.1472965035579186</v>
      </c>
      <c r="Z26" s="51">
        <f t="shared" si="16"/>
        <v>1.1472965035579186</v>
      </c>
      <c r="AB26" s="56">
        <f t="shared" si="3"/>
        <v>4.9000000000000004</v>
      </c>
      <c r="AG26" s="3">
        <v>0.39472416700000001</v>
      </c>
    </row>
    <row r="27" spans="1:33" ht="20.25" customHeight="1" x14ac:dyDescent="0.3">
      <c r="A27" s="22">
        <f t="shared" si="8"/>
        <v>22</v>
      </c>
      <c r="B27" s="11">
        <v>41782</v>
      </c>
      <c r="C27" s="57">
        <v>0.58680555555555558</v>
      </c>
      <c r="D27" s="13">
        <v>49.8</v>
      </c>
      <c r="E27" s="14">
        <v>48</v>
      </c>
      <c r="F27" s="23">
        <v>0</v>
      </c>
      <c r="G27" s="16">
        <v>0</v>
      </c>
      <c r="H27" s="24"/>
      <c r="I27" s="18">
        <v>1</v>
      </c>
      <c r="J27" s="18">
        <v>1</v>
      </c>
      <c r="K27" s="19">
        <v>0</v>
      </c>
      <c r="L27" s="14">
        <v>6</v>
      </c>
      <c r="M27" s="25"/>
      <c r="N27" s="26"/>
      <c r="O27" s="48">
        <f t="shared" si="4"/>
        <v>0</v>
      </c>
      <c r="P27" s="51">
        <f t="shared" si="13"/>
        <v>0.41666666662786156</v>
      </c>
      <c r="Q27" s="48">
        <f t="shared" si="0"/>
        <v>0</v>
      </c>
      <c r="R27" s="49">
        <f t="shared" si="1"/>
        <v>4059</v>
      </c>
      <c r="S27" s="50">
        <f t="shared" si="2"/>
        <v>0</v>
      </c>
      <c r="T27" s="59">
        <v>97.4</v>
      </c>
      <c r="U27" s="48">
        <f t="shared" si="14"/>
        <v>0</v>
      </c>
      <c r="V27" s="51">
        <f t="shared" si="15"/>
        <v>0</v>
      </c>
      <c r="W27" s="51">
        <f t="shared" si="5"/>
        <v>2.4000000000000007E-2</v>
      </c>
      <c r="X27" s="60">
        <f t="shared" si="6"/>
        <v>1.2062440548382814E-2</v>
      </c>
      <c r="Y27" s="51">
        <f t="shared" si="7"/>
        <v>1.1118499616469235</v>
      </c>
      <c r="Z27" s="51">
        <f t="shared" si="16"/>
        <v>1.1118499616469235</v>
      </c>
      <c r="AB27" s="56">
        <f t="shared" si="3"/>
        <v>4.8</v>
      </c>
      <c r="AG27" s="3">
        <v>0.40861138899999999</v>
      </c>
    </row>
    <row r="28" spans="1:33" ht="20.25" customHeight="1" x14ac:dyDescent="0.3">
      <c r="A28" s="22">
        <f t="shared" si="8"/>
        <v>23</v>
      </c>
      <c r="B28" s="11">
        <v>41782</v>
      </c>
      <c r="C28" s="57">
        <v>0.58750000000000002</v>
      </c>
      <c r="D28" s="13">
        <v>49.3</v>
      </c>
      <c r="E28" s="14">
        <v>47.5</v>
      </c>
      <c r="F28" s="23">
        <v>0</v>
      </c>
      <c r="G28" s="16">
        <v>0</v>
      </c>
      <c r="H28" s="24"/>
      <c r="I28" s="18">
        <v>1</v>
      </c>
      <c r="J28" s="18">
        <v>1</v>
      </c>
      <c r="K28" s="19">
        <v>0</v>
      </c>
      <c r="L28" s="14">
        <v>6</v>
      </c>
      <c r="M28" s="25"/>
      <c r="N28" s="26"/>
      <c r="O28" s="48">
        <f t="shared" si="4"/>
        <v>1.000000003259629</v>
      </c>
      <c r="P28" s="51">
        <f t="shared" si="13"/>
        <v>0.43333333334885538</v>
      </c>
      <c r="Q28" s="48">
        <f t="shared" si="0"/>
        <v>0</v>
      </c>
      <c r="R28" s="49">
        <f t="shared" si="1"/>
        <v>4059</v>
      </c>
      <c r="S28" s="50">
        <f t="shared" si="2"/>
        <v>0</v>
      </c>
      <c r="T28" s="59">
        <v>97.4</v>
      </c>
      <c r="U28" s="48">
        <f t="shared" si="14"/>
        <v>0</v>
      </c>
      <c r="V28" s="51">
        <f t="shared" si="15"/>
        <v>0</v>
      </c>
      <c r="W28" s="51">
        <f t="shared" si="5"/>
        <v>2.4000000000000007E-2</v>
      </c>
      <c r="X28" s="60">
        <f t="shared" si="6"/>
        <v>1.2159327102257639E-2</v>
      </c>
      <c r="Y28" s="51">
        <f t="shared" si="7"/>
        <v>1.1048761830474967</v>
      </c>
      <c r="Z28" s="51">
        <f t="shared" si="16"/>
        <v>1.1048761830474967</v>
      </c>
      <c r="AB28" s="56">
        <f t="shared" si="3"/>
        <v>4.75</v>
      </c>
      <c r="AG28" s="3">
        <v>0.423609444</v>
      </c>
    </row>
    <row r="29" spans="1:33" ht="20.25" customHeight="1" x14ac:dyDescent="0.3">
      <c r="A29" s="22">
        <f t="shared" si="8"/>
        <v>24</v>
      </c>
      <c r="B29" s="11">
        <v>41782</v>
      </c>
      <c r="C29" s="57">
        <v>0.58819444444444446</v>
      </c>
      <c r="D29" s="13">
        <v>48.9</v>
      </c>
      <c r="E29" s="14">
        <v>47.5</v>
      </c>
      <c r="F29" s="23">
        <v>0</v>
      </c>
      <c r="G29" s="16">
        <v>0.5</v>
      </c>
      <c r="H29" s="24"/>
      <c r="I29" s="18">
        <v>1</v>
      </c>
      <c r="J29" s="18">
        <v>1</v>
      </c>
      <c r="K29" s="19">
        <v>0</v>
      </c>
      <c r="L29" s="14">
        <v>6</v>
      </c>
      <c r="M29" s="25"/>
      <c r="N29" s="26"/>
      <c r="O29" s="48">
        <f t="shared" si="4"/>
        <v>0.99999999278225005</v>
      </c>
      <c r="P29" s="51">
        <f t="shared" ref="P29:P92" si="17">P28+O29/60</f>
        <v>0.44999999989522621</v>
      </c>
      <c r="Q29" s="48">
        <f t="shared" si="0"/>
        <v>0</v>
      </c>
      <c r="R29" s="49">
        <f t="shared" si="1"/>
        <v>4059</v>
      </c>
      <c r="S29" s="50">
        <f t="shared" si="2"/>
        <v>0</v>
      </c>
      <c r="T29" s="59">
        <v>97.4</v>
      </c>
      <c r="U29" s="48">
        <f t="shared" ref="U29:U92" si="18">(S29+Q29)*T29/100</f>
        <v>0</v>
      </c>
      <c r="V29" s="51">
        <f t="shared" ref="V29:V92" si="19">V28+U29/1000</f>
        <v>0</v>
      </c>
      <c r="W29" s="51">
        <f t="shared" si="5"/>
        <v>2.4500000000000008E-2</v>
      </c>
      <c r="X29" s="60">
        <f t="shared" si="6"/>
        <v>1.2159327102257639E-2</v>
      </c>
      <c r="Y29" s="51">
        <f t="shared" si="7"/>
        <v>1.1324661344086027</v>
      </c>
      <c r="Z29" s="51">
        <f t="shared" ref="Z29:Z92" si="20">V29+Y29</f>
        <v>1.1324661344086027</v>
      </c>
      <c r="AB29" s="56">
        <f t="shared" si="3"/>
        <v>4.75</v>
      </c>
      <c r="AG29" s="3">
        <v>0.423609444</v>
      </c>
    </row>
    <row r="30" spans="1:33" ht="20.25" customHeight="1" x14ac:dyDescent="0.3">
      <c r="A30" s="22">
        <f t="shared" si="8"/>
        <v>25</v>
      </c>
      <c r="B30" s="11">
        <v>41782</v>
      </c>
      <c r="C30" s="57">
        <v>0.58888888888888891</v>
      </c>
      <c r="D30" s="13">
        <v>48.9</v>
      </c>
      <c r="E30" s="14">
        <v>47.2</v>
      </c>
      <c r="F30" s="23">
        <v>0</v>
      </c>
      <c r="G30" s="16">
        <v>0.5</v>
      </c>
      <c r="H30" s="24"/>
      <c r="I30" s="18">
        <v>1</v>
      </c>
      <c r="J30" s="18">
        <v>1</v>
      </c>
      <c r="K30" s="19">
        <v>0</v>
      </c>
      <c r="L30" s="14">
        <v>6</v>
      </c>
      <c r="M30" s="25"/>
      <c r="N30" s="26"/>
      <c r="O30" s="48">
        <f t="shared" si="4"/>
        <v>1.000000003259629</v>
      </c>
      <c r="P30" s="51">
        <f t="shared" si="17"/>
        <v>0.46666666661622003</v>
      </c>
      <c r="Q30" s="48">
        <f t="shared" si="0"/>
        <v>0</v>
      </c>
      <c r="R30" s="49">
        <f t="shared" si="1"/>
        <v>4059</v>
      </c>
      <c r="S30" s="50">
        <f t="shared" si="2"/>
        <v>0</v>
      </c>
      <c r="T30" s="59">
        <v>97.4</v>
      </c>
      <c r="U30" s="48">
        <f t="shared" si="18"/>
        <v>0</v>
      </c>
      <c r="V30" s="51">
        <f t="shared" si="19"/>
        <v>0</v>
      </c>
      <c r="W30" s="51">
        <f t="shared" si="5"/>
        <v>2.5000000000000008E-2</v>
      </c>
      <c r="X30" s="60">
        <f t="shared" si="6"/>
        <v>1.2217832172186614E-2</v>
      </c>
      <c r="Y30" s="51">
        <f t="shared" si="7"/>
        <v>1.1457422263511652</v>
      </c>
      <c r="Z30" s="51">
        <f t="shared" si="20"/>
        <v>1.1457422263511652</v>
      </c>
      <c r="AB30" s="56">
        <f t="shared" si="3"/>
        <v>4.7200000000000006</v>
      </c>
      <c r="AG30" s="3">
        <v>0.45083361100000002</v>
      </c>
    </row>
    <row r="31" spans="1:33" ht="20.25" customHeight="1" x14ac:dyDescent="0.3">
      <c r="A31" s="22">
        <f t="shared" si="8"/>
        <v>26</v>
      </c>
      <c r="B31" s="11">
        <v>41782</v>
      </c>
      <c r="C31" s="57">
        <v>0.58958333333333335</v>
      </c>
      <c r="D31" s="13">
        <v>48.2</v>
      </c>
      <c r="E31" s="14">
        <v>44.8</v>
      </c>
      <c r="F31" s="23">
        <v>0</v>
      </c>
      <c r="G31" s="16">
        <v>0.5</v>
      </c>
      <c r="H31" s="24"/>
      <c r="I31" s="18">
        <v>1</v>
      </c>
      <c r="J31" s="18">
        <v>1</v>
      </c>
      <c r="K31" s="19">
        <v>0</v>
      </c>
      <c r="L31" s="14">
        <v>6</v>
      </c>
      <c r="M31" s="25"/>
      <c r="N31" s="26"/>
      <c r="O31" s="48">
        <f t="shared" si="4"/>
        <v>1.000000003259629</v>
      </c>
      <c r="P31" s="51">
        <f t="shared" si="17"/>
        <v>0.48333333333721384</v>
      </c>
      <c r="Q31" s="48">
        <f t="shared" si="0"/>
        <v>0</v>
      </c>
      <c r="R31" s="49">
        <f t="shared" si="1"/>
        <v>4059</v>
      </c>
      <c r="S31" s="50">
        <f t="shared" si="2"/>
        <v>0</v>
      </c>
      <c r="T31" s="59">
        <v>97.4</v>
      </c>
      <c r="U31" s="48">
        <f t="shared" si="18"/>
        <v>0</v>
      </c>
      <c r="V31" s="51">
        <f t="shared" si="19"/>
        <v>0</v>
      </c>
      <c r="W31" s="51">
        <f t="shared" si="5"/>
        <v>2.5500000000000009E-2</v>
      </c>
      <c r="X31" s="60">
        <f t="shared" si="6"/>
        <v>1.2696121308286998E-2</v>
      </c>
      <c r="Y31" s="51">
        <f t="shared" si="7"/>
        <v>1.0921942353608416</v>
      </c>
      <c r="Z31" s="51">
        <f t="shared" si="20"/>
        <v>1.0921942353608416</v>
      </c>
      <c r="AB31" s="56">
        <f t="shared" si="3"/>
        <v>4.4799999999999995</v>
      </c>
      <c r="AG31" s="3">
        <v>0.46389027799999999</v>
      </c>
    </row>
    <row r="32" spans="1:33" ht="20.25" customHeight="1" x14ac:dyDescent="0.3">
      <c r="A32" s="22">
        <f t="shared" si="8"/>
        <v>27</v>
      </c>
      <c r="B32" s="11">
        <v>41782</v>
      </c>
      <c r="C32" s="57">
        <v>0.59027777777777779</v>
      </c>
      <c r="D32" s="13">
        <v>48.3</v>
      </c>
      <c r="E32" s="14">
        <v>43.9</v>
      </c>
      <c r="F32" s="23">
        <v>0</v>
      </c>
      <c r="G32" s="16">
        <v>0</v>
      </c>
      <c r="H32" s="24"/>
      <c r="I32" s="18">
        <v>1</v>
      </c>
      <c r="J32" s="18">
        <v>1</v>
      </c>
      <c r="K32" s="19">
        <v>0</v>
      </c>
      <c r="L32" s="14">
        <v>6</v>
      </c>
      <c r="M32" s="25"/>
      <c r="N32" s="26"/>
      <c r="O32" s="48">
        <f t="shared" si="4"/>
        <v>1.000000003259629</v>
      </c>
      <c r="P32" s="51">
        <f t="shared" si="17"/>
        <v>0.50000000005820766</v>
      </c>
      <c r="Q32" s="48">
        <f t="shared" si="0"/>
        <v>0</v>
      </c>
      <c r="R32" s="49">
        <f t="shared" si="1"/>
        <v>4059</v>
      </c>
      <c r="S32" s="50">
        <f t="shared" si="2"/>
        <v>0</v>
      </c>
      <c r="T32" s="59">
        <v>97.4</v>
      </c>
      <c r="U32" s="48">
        <f t="shared" si="18"/>
        <v>0</v>
      </c>
      <c r="V32" s="51">
        <f t="shared" si="19"/>
        <v>0</v>
      </c>
      <c r="W32" s="51">
        <f t="shared" si="5"/>
        <v>2.5500000000000009E-2</v>
      </c>
      <c r="X32" s="60">
        <f t="shared" si="6"/>
        <v>1.2880268130198005E-2</v>
      </c>
      <c r="Y32" s="51">
        <f t="shared" si="7"/>
        <v>1.0833188746596201</v>
      </c>
      <c r="Z32" s="51">
        <f t="shared" si="20"/>
        <v>1.0833188746596201</v>
      </c>
      <c r="AB32" s="56">
        <f t="shared" si="3"/>
        <v>4.3899999999999997</v>
      </c>
      <c r="AG32" s="3">
        <v>0.48666805600000002</v>
      </c>
    </row>
    <row r="33" spans="1:33" ht="20.25" customHeight="1" x14ac:dyDescent="0.3">
      <c r="A33" s="22">
        <f t="shared" si="8"/>
        <v>28</v>
      </c>
      <c r="B33" s="11">
        <v>41782</v>
      </c>
      <c r="C33" s="57">
        <v>0.59097222222222223</v>
      </c>
      <c r="D33" s="13">
        <v>46.8</v>
      </c>
      <c r="E33" s="14">
        <v>43.1</v>
      </c>
      <c r="F33" s="23">
        <v>0</v>
      </c>
      <c r="G33" s="16">
        <v>0.5</v>
      </c>
      <c r="H33" s="24"/>
      <c r="I33" s="18">
        <v>1</v>
      </c>
      <c r="J33" s="18">
        <v>1</v>
      </c>
      <c r="K33" s="19">
        <v>0</v>
      </c>
      <c r="L33" s="14">
        <v>6</v>
      </c>
      <c r="M33" s="25"/>
      <c r="N33" s="26"/>
      <c r="O33" s="48">
        <f t="shared" si="4"/>
        <v>0.99999999278225005</v>
      </c>
      <c r="P33" s="51">
        <f t="shared" si="17"/>
        <v>0.5166666666045785</v>
      </c>
      <c r="Q33" s="48">
        <f t="shared" si="0"/>
        <v>0</v>
      </c>
      <c r="R33" s="49">
        <f t="shared" si="1"/>
        <v>4059</v>
      </c>
      <c r="S33" s="50">
        <f t="shared" si="2"/>
        <v>0</v>
      </c>
      <c r="T33" s="59">
        <v>97.4</v>
      </c>
      <c r="U33" s="48">
        <f t="shared" si="18"/>
        <v>0</v>
      </c>
      <c r="V33" s="51">
        <f t="shared" si="19"/>
        <v>0</v>
      </c>
      <c r="W33" s="51">
        <f t="shared" si="5"/>
        <v>2.6000000000000009E-2</v>
      </c>
      <c r="X33" s="60">
        <f t="shared" si="6"/>
        <v>1.3046195230253072E-2</v>
      </c>
      <c r="Y33" s="51">
        <f t="shared" si="7"/>
        <v>1.0857975837413449</v>
      </c>
      <c r="Z33" s="51">
        <f t="shared" si="20"/>
        <v>1.0857975837413449</v>
      </c>
      <c r="AB33" s="56">
        <f t="shared" si="3"/>
        <v>4.3100000000000005</v>
      </c>
      <c r="AG33" s="3">
        <v>0.50055499999999997</v>
      </c>
    </row>
    <row r="34" spans="1:33" ht="20.25" customHeight="1" x14ac:dyDescent="0.3">
      <c r="A34" s="22">
        <f t="shared" si="8"/>
        <v>29</v>
      </c>
      <c r="B34" s="11">
        <v>41782</v>
      </c>
      <c r="C34" s="57">
        <v>0.61805555555555558</v>
      </c>
      <c r="D34" s="13">
        <v>51.6</v>
      </c>
      <c r="E34" s="14">
        <v>48.2</v>
      </c>
      <c r="F34" s="23">
        <v>0</v>
      </c>
      <c r="G34" s="16">
        <v>0</v>
      </c>
      <c r="H34" s="24"/>
      <c r="I34" s="18">
        <v>1</v>
      </c>
      <c r="J34" s="18">
        <v>1</v>
      </c>
      <c r="K34" s="19">
        <v>0</v>
      </c>
      <c r="L34" s="14">
        <v>6</v>
      </c>
      <c r="M34" s="25"/>
      <c r="N34" s="26"/>
      <c r="O34" s="48">
        <f t="shared" si="4"/>
        <v>39.000000001396984</v>
      </c>
      <c r="P34" s="51">
        <f t="shared" si="17"/>
        <v>1.1666666666278616</v>
      </c>
      <c r="Q34" s="48">
        <f t="shared" si="0"/>
        <v>0</v>
      </c>
      <c r="R34" s="49">
        <f t="shared" si="1"/>
        <v>4059</v>
      </c>
      <c r="S34" s="50">
        <f t="shared" si="2"/>
        <v>0</v>
      </c>
      <c r="T34" s="59">
        <v>97.4</v>
      </c>
      <c r="U34" s="48">
        <f t="shared" si="18"/>
        <v>0</v>
      </c>
      <c r="V34" s="51">
        <f t="shared" si="19"/>
        <v>0</v>
      </c>
      <c r="W34" s="51">
        <f t="shared" si="5"/>
        <v>2.6000000000000009E-2</v>
      </c>
      <c r="X34" s="60">
        <f t="shared" si="6"/>
        <v>1.2023902432499255E-2</v>
      </c>
      <c r="Y34" s="51">
        <f t="shared" si="7"/>
        <v>1.2670819341068467</v>
      </c>
      <c r="Z34" s="51">
        <f t="shared" si="20"/>
        <v>1.2670819341068467</v>
      </c>
      <c r="AB34" s="56">
        <f t="shared" si="3"/>
        <v>4.82</v>
      </c>
      <c r="AG34" s="3">
        <v>1.146113333</v>
      </c>
    </row>
    <row r="35" spans="1:33" ht="20.25" customHeight="1" x14ac:dyDescent="0.3">
      <c r="A35" s="22">
        <f t="shared" si="8"/>
        <v>30</v>
      </c>
      <c r="B35" s="11">
        <v>41782</v>
      </c>
      <c r="C35" s="57">
        <v>0.61875000000000002</v>
      </c>
      <c r="D35" s="13">
        <v>48.8</v>
      </c>
      <c r="E35" s="14">
        <v>45.5</v>
      </c>
      <c r="F35" s="23">
        <v>0</v>
      </c>
      <c r="G35" s="16">
        <v>1</v>
      </c>
      <c r="H35" s="24"/>
      <c r="I35" s="18">
        <v>1</v>
      </c>
      <c r="J35" s="18">
        <v>1</v>
      </c>
      <c r="K35" s="19">
        <v>0</v>
      </c>
      <c r="L35" s="14">
        <v>6</v>
      </c>
      <c r="M35" s="25"/>
      <c r="N35" s="26"/>
      <c r="O35" s="48">
        <f t="shared" si="4"/>
        <v>1.000000003259629</v>
      </c>
      <c r="P35" s="51">
        <f t="shared" si="17"/>
        <v>1.1833333333488554</v>
      </c>
      <c r="Q35" s="48">
        <f t="shared" si="0"/>
        <v>0</v>
      </c>
      <c r="R35" s="49">
        <f t="shared" si="1"/>
        <v>4059</v>
      </c>
      <c r="S35" s="50">
        <f t="shared" si="2"/>
        <v>0</v>
      </c>
      <c r="T35" s="59">
        <v>97.4</v>
      </c>
      <c r="U35" s="48">
        <f t="shared" si="18"/>
        <v>0</v>
      </c>
      <c r="V35" s="51">
        <f t="shared" si="19"/>
        <v>0</v>
      </c>
      <c r="W35" s="51">
        <f t="shared" si="5"/>
        <v>2.700000000000001E-2</v>
      </c>
      <c r="X35" s="60">
        <f t="shared" si="6"/>
        <v>1.2554718085811973E-2</v>
      </c>
      <c r="Y35" s="51">
        <f t="shared" si="7"/>
        <v>1.1730348426921406</v>
      </c>
      <c r="Z35" s="51">
        <f t="shared" si="20"/>
        <v>1.1730348426921406</v>
      </c>
      <c r="AB35" s="56">
        <f t="shared" si="3"/>
        <v>4.55</v>
      </c>
      <c r="AG35" s="3">
        <v>1.1591652779999999</v>
      </c>
    </row>
    <row r="36" spans="1:33" ht="20.25" customHeight="1" x14ac:dyDescent="0.3">
      <c r="A36" s="22">
        <f t="shared" si="8"/>
        <v>31</v>
      </c>
      <c r="B36" s="11">
        <v>41782</v>
      </c>
      <c r="C36" s="57">
        <v>0.61875000000000002</v>
      </c>
      <c r="D36" s="13">
        <v>47.1</v>
      </c>
      <c r="E36" s="14">
        <v>43.9</v>
      </c>
      <c r="F36" s="23">
        <v>0</v>
      </c>
      <c r="G36" s="16">
        <v>0.5</v>
      </c>
      <c r="H36" s="24"/>
      <c r="I36" s="18">
        <v>1</v>
      </c>
      <c r="J36" s="18">
        <v>1</v>
      </c>
      <c r="K36" s="19">
        <v>0</v>
      </c>
      <c r="L36" s="14">
        <v>6</v>
      </c>
      <c r="M36" s="25"/>
      <c r="N36" s="26"/>
      <c r="O36" s="48">
        <f t="shared" si="4"/>
        <v>0</v>
      </c>
      <c r="P36" s="51">
        <f t="shared" si="17"/>
        <v>1.1833333333488554</v>
      </c>
      <c r="Q36" s="48">
        <f t="shared" si="0"/>
        <v>0</v>
      </c>
      <c r="R36" s="49">
        <f t="shared" si="1"/>
        <v>4059</v>
      </c>
      <c r="S36" s="50">
        <f t="shared" si="2"/>
        <v>0</v>
      </c>
      <c r="T36" s="59">
        <v>97.4</v>
      </c>
      <c r="U36" s="48">
        <f t="shared" si="18"/>
        <v>0</v>
      </c>
      <c r="V36" s="51">
        <f t="shared" si="19"/>
        <v>0</v>
      </c>
      <c r="W36" s="51">
        <f t="shared" si="5"/>
        <v>2.7500000000000011E-2</v>
      </c>
      <c r="X36" s="60">
        <f t="shared" si="6"/>
        <v>1.2880268130198005E-2</v>
      </c>
      <c r="Y36" s="51">
        <f t="shared" si="7"/>
        <v>1.1628521598035317</v>
      </c>
      <c r="Z36" s="51">
        <f t="shared" si="20"/>
        <v>1.1628521598035317</v>
      </c>
      <c r="AB36" s="56">
        <f t="shared" si="3"/>
        <v>4.3899999999999997</v>
      </c>
      <c r="AG36" s="3">
        <v>1.1752783330000001</v>
      </c>
    </row>
    <row r="37" spans="1:33" ht="20.25" customHeight="1" x14ac:dyDescent="0.3">
      <c r="A37" s="22">
        <f t="shared" si="8"/>
        <v>32</v>
      </c>
      <c r="B37" s="11">
        <v>41782</v>
      </c>
      <c r="C37" s="57">
        <v>0.62013888888888891</v>
      </c>
      <c r="D37" s="13">
        <v>45.8</v>
      </c>
      <c r="E37" s="14">
        <v>43.4</v>
      </c>
      <c r="F37" s="23">
        <v>0</v>
      </c>
      <c r="G37" s="16">
        <v>0.5</v>
      </c>
      <c r="H37" s="24"/>
      <c r="I37" s="18">
        <v>1</v>
      </c>
      <c r="J37" s="18">
        <v>1</v>
      </c>
      <c r="K37" s="19">
        <v>0</v>
      </c>
      <c r="L37" s="14">
        <v>6</v>
      </c>
      <c r="M37" s="25"/>
      <c r="N37" s="26"/>
      <c r="O37" s="48">
        <f t="shared" si="4"/>
        <v>1.9999999960418791</v>
      </c>
      <c r="P37" s="51">
        <f t="shared" si="17"/>
        <v>1.21666666661622</v>
      </c>
      <c r="Q37" s="48">
        <f t="shared" si="0"/>
        <v>0</v>
      </c>
      <c r="R37" s="49">
        <f t="shared" si="1"/>
        <v>4059</v>
      </c>
      <c r="S37" s="50">
        <f t="shared" si="2"/>
        <v>0</v>
      </c>
      <c r="T37" s="59">
        <v>97.4</v>
      </c>
      <c r="U37" s="48">
        <f t="shared" si="18"/>
        <v>0</v>
      </c>
      <c r="V37" s="51">
        <f t="shared" si="19"/>
        <v>0</v>
      </c>
      <c r="W37" s="51">
        <f t="shared" si="5"/>
        <v>2.8000000000000011E-2</v>
      </c>
      <c r="X37" s="60">
        <f t="shared" si="6"/>
        <v>1.2983723545137724E-2</v>
      </c>
      <c r="Y37" s="51">
        <f t="shared" si="7"/>
        <v>1.1804586620881634</v>
      </c>
      <c r="Z37" s="51">
        <f t="shared" si="20"/>
        <v>1.1804586620881634</v>
      </c>
      <c r="AB37" s="56">
        <f t="shared" si="3"/>
        <v>4.34</v>
      </c>
      <c r="AG37" s="3">
        <v>1.192778611</v>
      </c>
    </row>
    <row r="38" spans="1:33" ht="20.25" customHeight="1" x14ac:dyDescent="0.3">
      <c r="A38" s="22">
        <f t="shared" si="8"/>
        <v>33</v>
      </c>
      <c r="B38" s="11">
        <v>41782</v>
      </c>
      <c r="C38" s="57">
        <v>0.62083333333333335</v>
      </c>
      <c r="D38" s="13">
        <v>46.2</v>
      </c>
      <c r="E38" s="14">
        <v>43.2</v>
      </c>
      <c r="F38" s="23">
        <v>0</v>
      </c>
      <c r="G38" s="16">
        <v>0.5</v>
      </c>
      <c r="H38" s="24"/>
      <c r="I38" s="18">
        <v>1</v>
      </c>
      <c r="J38" s="18">
        <v>1</v>
      </c>
      <c r="K38" s="19">
        <v>0</v>
      </c>
      <c r="L38" s="14">
        <v>6</v>
      </c>
      <c r="M38" s="25"/>
      <c r="N38" s="26"/>
      <c r="O38" s="48">
        <f t="shared" si="4"/>
        <v>1.000000003259629</v>
      </c>
      <c r="P38" s="51">
        <f t="shared" si="17"/>
        <v>1.2333333333372138</v>
      </c>
      <c r="Q38" s="48">
        <f t="shared" ref="Q38:Q69" si="21">F38*$F$2/1000*273/(273+L38)</f>
        <v>0</v>
      </c>
      <c r="R38" s="49">
        <f t="shared" ref="R38:R69" si="22">$N$2-K38</f>
        <v>4059</v>
      </c>
      <c r="S38" s="50">
        <f t="shared" ref="S38:S69" si="23">IF(I38=J38,0,R38*(J38-I38))*273/(273+L38)</f>
        <v>0</v>
      </c>
      <c r="T38" s="59">
        <v>97.4</v>
      </c>
      <c r="U38" s="48">
        <f t="shared" si="18"/>
        <v>0</v>
      </c>
      <c r="V38" s="51">
        <f t="shared" si="19"/>
        <v>0</v>
      </c>
      <c r="W38" s="51">
        <f t="shared" si="5"/>
        <v>2.8500000000000011E-2</v>
      </c>
      <c r="X38" s="60">
        <f t="shared" si="6"/>
        <v>1.3025338008111918E-2</v>
      </c>
      <c r="Y38" s="51">
        <f t="shared" si="7"/>
        <v>1.1988088175380922</v>
      </c>
      <c r="Z38" s="51">
        <f t="shared" si="20"/>
        <v>1.1988088175380922</v>
      </c>
      <c r="AB38" s="56">
        <f t="shared" ref="AB38:AB69" si="24">E38/10</f>
        <v>4.32</v>
      </c>
      <c r="AG38" s="3">
        <v>1.2255555549999999</v>
      </c>
    </row>
    <row r="39" spans="1:33" ht="20.25" customHeight="1" x14ac:dyDescent="0.3">
      <c r="A39" s="22">
        <f t="shared" si="8"/>
        <v>34</v>
      </c>
      <c r="B39" s="11">
        <v>41782</v>
      </c>
      <c r="C39" s="57">
        <v>0.62152777777777779</v>
      </c>
      <c r="D39" s="13">
        <v>44.2</v>
      </c>
      <c r="E39" s="14">
        <v>41.6</v>
      </c>
      <c r="F39" s="23">
        <v>0</v>
      </c>
      <c r="G39" s="16">
        <v>1</v>
      </c>
      <c r="H39" s="24"/>
      <c r="I39" s="18">
        <v>1</v>
      </c>
      <c r="J39" s="18">
        <v>1</v>
      </c>
      <c r="K39" s="19">
        <v>0</v>
      </c>
      <c r="L39" s="14">
        <v>6</v>
      </c>
      <c r="M39" s="25"/>
      <c r="N39" s="26"/>
      <c r="O39" s="48">
        <f t="shared" ref="O39:O70" si="25">((B39 +C39) - (B38 + C38)) * 24 * 60</f>
        <v>1.000000003259629</v>
      </c>
      <c r="P39" s="51">
        <f t="shared" si="17"/>
        <v>1.2500000000582077</v>
      </c>
      <c r="Q39" s="48">
        <f t="shared" si="21"/>
        <v>0</v>
      </c>
      <c r="R39" s="49">
        <f t="shared" si="22"/>
        <v>4059</v>
      </c>
      <c r="S39" s="50">
        <f t="shared" si="23"/>
        <v>0</v>
      </c>
      <c r="T39" s="59">
        <v>97.4</v>
      </c>
      <c r="U39" s="48">
        <f t="shared" si="18"/>
        <v>0</v>
      </c>
      <c r="V39" s="51">
        <f t="shared" si="19"/>
        <v>0</v>
      </c>
      <c r="W39" s="51">
        <f t="shared" ref="W39:W70" si="26">W38+(G39+K39)/1000</f>
        <v>2.9500000000000012E-2</v>
      </c>
      <c r="X39" s="60">
        <f t="shared" ref="X39:X70" si="27">0.026*EXP(-0.016*E39)</f>
        <v>1.3363091459659027E-2</v>
      </c>
      <c r="Y39" s="51">
        <f t="shared" ref="Y39:Y70" si="28">(W39-(X39-X38))*(E39+1)*1*273/(273+L39)*T39/100</f>
        <v>1.1839898438765537</v>
      </c>
      <c r="Z39" s="51">
        <f t="shared" si="20"/>
        <v>1.1839898438765537</v>
      </c>
      <c r="AB39" s="56">
        <f t="shared" si="24"/>
        <v>4.16</v>
      </c>
    </row>
    <row r="40" spans="1:33" ht="20.25" customHeight="1" x14ac:dyDescent="0.3">
      <c r="A40" s="22">
        <f t="shared" si="8"/>
        <v>35</v>
      </c>
      <c r="B40" s="11">
        <v>41782</v>
      </c>
      <c r="C40" s="57">
        <v>0.62222222222222223</v>
      </c>
      <c r="D40" s="13">
        <v>43</v>
      </c>
      <c r="E40" s="14">
        <v>40.200000000000003</v>
      </c>
      <c r="F40" s="23">
        <v>0</v>
      </c>
      <c r="G40" s="16">
        <v>1</v>
      </c>
      <c r="H40" s="24"/>
      <c r="I40" s="18">
        <v>1</v>
      </c>
      <c r="J40" s="18">
        <v>1</v>
      </c>
      <c r="K40" s="19">
        <v>0</v>
      </c>
      <c r="L40" s="14">
        <v>6</v>
      </c>
      <c r="M40" s="25"/>
      <c r="N40" s="26"/>
      <c r="O40" s="48">
        <f t="shared" si="25"/>
        <v>0.99999999278225005</v>
      </c>
      <c r="P40" s="51">
        <f t="shared" si="17"/>
        <v>1.2666666666045785</v>
      </c>
      <c r="Q40" s="48">
        <f t="shared" si="21"/>
        <v>0</v>
      </c>
      <c r="R40" s="49">
        <f t="shared" si="22"/>
        <v>4059</v>
      </c>
      <c r="S40" s="50">
        <f t="shared" si="23"/>
        <v>0</v>
      </c>
      <c r="T40" s="59">
        <v>97.4</v>
      </c>
      <c r="U40" s="48">
        <f t="shared" si="18"/>
        <v>0</v>
      </c>
      <c r="V40" s="51">
        <f t="shared" si="19"/>
        <v>0</v>
      </c>
      <c r="W40" s="51">
        <f t="shared" si="26"/>
        <v>3.0500000000000013E-2</v>
      </c>
      <c r="X40" s="60">
        <f t="shared" si="27"/>
        <v>1.3665802413793515E-2</v>
      </c>
      <c r="Y40" s="51">
        <f t="shared" si="28"/>
        <v>1.1857211667999925</v>
      </c>
      <c r="Z40" s="51">
        <f t="shared" si="20"/>
        <v>1.1857211667999925</v>
      </c>
      <c r="AB40" s="56">
        <f t="shared" si="24"/>
        <v>4.0200000000000005</v>
      </c>
    </row>
    <row r="41" spans="1:33" ht="20.25" customHeight="1" x14ac:dyDescent="0.3">
      <c r="A41" s="22">
        <f t="shared" si="8"/>
        <v>36</v>
      </c>
      <c r="B41" s="11">
        <v>41782</v>
      </c>
      <c r="C41" s="57">
        <v>0.62291666666666667</v>
      </c>
      <c r="D41" s="13">
        <v>42.1</v>
      </c>
      <c r="E41" s="14">
        <v>38.799999999999997</v>
      </c>
      <c r="F41" s="23">
        <v>0</v>
      </c>
      <c r="G41" s="16">
        <v>1</v>
      </c>
      <c r="H41" s="24"/>
      <c r="I41" s="18">
        <v>1</v>
      </c>
      <c r="J41" s="18">
        <v>1</v>
      </c>
      <c r="K41" s="19">
        <v>0</v>
      </c>
      <c r="L41" s="14">
        <v>6</v>
      </c>
      <c r="M41" s="25"/>
      <c r="N41" s="26"/>
      <c r="O41" s="48">
        <f t="shared" si="25"/>
        <v>1.000000003259629</v>
      </c>
      <c r="P41" s="51">
        <f t="shared" si="17"/>
        <v>1.2833333333255723</v>
      </c>
      <c r="Q41" s="48">
        <f t="shared" si="21"/>
        <v>0</v>
      </c>
      <c r="R41" s="49">
        <f t="shared" si="22"/>
        <v>4059</v>
      </c>
      <c r="S41" s="50">
        <f t="shared" si="23"/>
        <v>0</v>
      </c>
      <c r="T41" s="59">
        <v>97.4</v>
      </c>
      <c r="U41" s="48">
        <f t="shared" si="18"/>
        <v>0</v>
      </c>
      <c r="V41" s="51">
        <f t="shared" si="19"/>
        <v>0</v>
      </c>
      <c r="W41" s="51">
        <f t="shared" si="26"/>
        <v>3.1500000000000014E-2</v>
      </c>
      <c r="X41" s="60">
        <f t="shared" si="27"/>
        <v>1.3975370607664007E-2</v>
      </c>
      <c r="Y41" s="51">
        <f t="shared" si="28"/>
        <v>1.1831011049638547</v>
      </c>
      <c r="Z41" s="51">
        <f t="shared" si="20"/>
        <v>1.1831011049638547</v>
      </c>
      <c r="AB41" s="56">
        <f t="shared" si="24"/>
        <v>3.88</v>
      </c>
    </row>
    <row r="42" spans="1:33" ht="20.25" customHeight="1" x14ac:dyDescent="0.3">
      <c r="A42" s="22">
        <f t="shared" si="8"/>
        <v>37</v>
      </c>
      <c r="B42" s="11">
        <v>41782</v>
      </c>
      <c r="C42" s="57">
        <v>0.62361111111111112</v>
      </c>
      <c r="D42" s="13">
        <v>41.2</v>
      </c>
      <c r="E42" s="14">
        <v>39.4</v>
      </c>
      <c r="F42" s="23">
        <v>0</v>
      </c>
      <c r="G42" s="16">
        <v>1</v>
      </c>
      <c r="H42" s="24"/>
      <c r="I42" s="18">
        <v>1</v>
      </c>
      <c r="J42" s="18">
        <v>1</v>
      </c>
      <c r="K42" s="19">
        <v>0</v>
      </c>
      <c r="L42" s="14">
        <v>6</v>
      </c>
      <c r="M42" s="25"/>
      <c r="N42" s="26"/>
      <c r="O42" s="48">
        <f t="shared" si="25"/>
        <v>1.000000003259629</v>
      </c>
      <c r="P42" s="51">
        <f t="shared" si="17"/>
        <v>1.3000000000465661</v>
      </c>
      <c r="Q42" s="48">
        <f t="shared" si="21"/>
        <v>0</v>
      </c>
      <c r="R42" s="49">
        <f t="shared" si="22"/>
        <v>4059</v>
      </c>
      <c r="S42" s="50">
        <f t="shared" si="23"/>
        <v>0</v>
      </c>
      <c r="T42" s="59">
        <v>97.4</v>
      </c>
      <c r="U42" s="48">
        <f t="shared" si="18"/>
        <v>0</v>
      </c>
      <c r="V42" s="51">
        <f t="shared" si="19"/>
        <v>0</v>
      </c>
      <c r="W42" s="51">
        <f t="shared" si="26"/>
        <v>3.2500000000000015E-2</v>
      </c>
      <c r="X42" s="60">
        <f t="shared" si="27"/>
        <v>1.384184897909211E-2</v>
      </c>
      <c r="Y42" s="51">
        <f t="shared" si="28"/>
        <v>1.2565006243385424</v>
      </c>
      <c r="Z42" s="51">
        <f t="shared" si="20"/>
        <v>1.2565006243385424</v>
      </c>
      <c r="AB42" s="56">
        <f t="shared" si="24"/>
        <v>3.94</v>
      </c>
    </row>
    <row r="43" spans="1:33" ht="20.25" customHeight="1" x14ac:dyDescent="0.3">
      <c r="A43" s="22">
        <f t="shared" si="8"/>
        <v>38</v>
      </c>
      <c r="B43" s="11">
        <v>41782</v>
      </c>
      <c r="C43" s="57">
        <v>0.62430555555555556</v>
      </c>
      <c r="D43" s="13">
        <v>41.7</v>
      </c>
      <c r="E43" s="14">
        <v>37.9</v>
      </c>
      <c r="F43" s="23">
        <v>0</v>
      </c>
      <c r="G43" s="16">
        <v>1</v>
      </c>
      <c r="H43" s="24"/>
      <c r="I43" s="18">
        <v>1</v>
      </c>
      <c r="J43" s="18">
        <v>1</v>
      </c>
      <c r="K43" s="19">
        <v>0</v>
      </c>
      <c r="L43" s="14">
        <v>6</v>
      </c>
      <c r="M43" s="25"/>
      <c r="N43" s="26"/>
      <c r="O43" s="48">
        <f t="shared" si="25"/>
        <v>0.99999999278225005</v>
      </c>
      <c r="P43" s="51">
        <f t="shared" si="17"/>
        <v>1.316666666592937</v>
      </c>
      <c r="Q43" s="48">
        <f t="shared" si="21"/>
        <v>0</v>
      </c>
      <c r="R43" s="49">
        <f t="shared" si="22"/>
        <v>4059</v>
      </c>
      <c r="S43" s="50">
        <f t="shared" si="23"/>
        <v>0</v>
      </c>
      <c r="T43" s="59">
        <v>97.4</v>
      </c>
      <c r="U43" s="48">
        <f t="shared" si="18"/>
        <v>0</v>
      </c>
      <c r="V43" s="51">
        <f t="shared" si="19"/>
        <v>0</v>
      </c>
      <c r="W43" s="51">
        <f t="shared" si="26"/>
        <v>3.3500000000000016E-2</v>
      </c>
      <c r="X43" s="60">
        <f t="shared" si="27"/>
        <v>1.4178071890988233E-2</v>
      </c>
      <c r="Y43" s="51">
        <f t="shared" si="28"/>
        <v>1.2295069537291432</v>
      </c>
      <c r="Z43" s="51">
        <f t="shared" si="20"/>
        <v>1.2295069537291432</v>
      </c>
      <c r="AB43" s="56">
        <f t="shared" si="24"/>
        <v>3.79</v>
      </c>
    </row>
    <row r="44" spans="1:33" ht="20.25" customHeight="1" x14ac:dyDescent="0.3">
      <c r="A44" s="22">
        <f t="shared" si="8"/>
        <v>39</v>
      </c>
      <c r="B44" s="11">
        <v>41782</v>
      </c>
      <c r="C44" s="57">
        <v>0.625</v>
      </c>
      <c r="D44" s="13">
        <v>39.700000000000003</v>
      </c>
      <c r="E44" s="14">
        <v>33.4</v>
      </c>
      <c r="F44" s="23">
        <v>0</v>
      </c>
      <c r="G44" s="16">
        <v>1</v>
      </c>
      <c r="H44" s="24"/>
      <c r="I44" s="18">
        <v>1</v>
      </c>
      <c r="J44" s="18">
        <v>1</v>
      </c>
      <c r="K44" s="19">
        <v>0</v>
      </c>
      <c r="L44" s="14">
        <v>6</v>
      </c>
      <c r="M44" s="25"/>
      <c r="N44" s="26"/>
      <c r="O44" s="48">
        <f t="shared" si="25"/>
        <v>1.000000003259629</v>
      </c>
      <c r="P44" s="51">
        <f t="shared" si="17"/>
        <v>1.3333333333139308</v>
      </c>
      <c r="Q44" s="48">
        <f t="shared" si="21"/>
        <v>0</v>
      </c>
      <c r="R44" s="49">
        <f t="shared" si="22"/>
        <v>4059</v>
      </c>
      <c r="S44" s="50">
        <f t="shared" si="23"/>
        <v>0</v>
      </c>
      <c r="T44" s="59">
        <v>97.4</v>
      </c>
      <c r="U44" s="48">
        <f t="shared" si="18"/>
        <v>0</v>
      </c>
      <c r="V44" s="51">
        <f t="shared" si="19"/>
        <v>0</v>
      </c>
      <c r="W44" s="51">
        <f t="shared" si="26"/>
        <v>3.4500000000000017E-2</v>
      </c>
      <c r="X44" s="60">
        <f t="shared" si="27"/>
        <v>1.5236540726171444E-2</v>
      </c>
      <c r="Y44" s="51">
        <f t="shared" si="28"/>
        <v>1.0963822533357597</v>
      </c>
      <c r="Z44" s="51">
        <f t="shared" si="20"/>
        <v>1.0963822533357597</v>
      </c>
      <c r="AB44" s="56">
        <f t="shared" si="24"/>
        <v>3.34</v>
      </c>
    </row>
    <row r="45" spans="1:33" ht="20.25" customHeight="1" x14ac:dyDescent="0.3">
      <c r="A45" s="22">
        <f t="shared" si="8"/>
        <v>40</v>
      </c>
      <c r="B45" s="11">
        <v>41782</v>
      </c>
      <c r="C45" s="57">
        <v>0.64444444444444449</v>
      </c>
      <c r="D45" s="13">
        <v>48.3</v>
      </c>
      <c r="E45" s="14">
        <v>43.7</v>
      </c>
      <c r="F45" s="23">
        <v>0</v>
      </c>
      <c r="G45" s="16">
        <v>2</v>
      </c>
      <c r="H45" s="24"/>
      <c r="I45" s="18">
        <v>1</v>
      </c>
      <c r="J45" s="18">
        <v>1</v>
      </c>
      <c r="K45" s="19">
        <v>0</v>
      </c>
      <c r="L45" s="14">
        <v>6</v>
      </c>
      <c r="M45" s="25"/>
      <c r="N45" s="26"/>
      <c r="O45" s="48">
        <f t="shared" si="25"/>
        <v>27.999999996973202</v>
      </c>
      <c r="P45" s="51">
        <f t="shared" si="17"/>
        <v>1.7999999999301508</v>
      </c>
      <c r="Q45" s="48">
        <f t="shared" si="21"/>
        <v>0</v>
      </c>
      <c r="R45" s="49">
        <f t="shared" si="22"/>
        <v>4059</v>
      </c>
      <c r="S45" s="50">
        <f t="shared" si="23"/>
        <v>0</v>
      </c>
      <c r="T45" s="59">
        <v>97.4</v>
      </c>
      <c r="U45" s="48">
        <f t="shared" si="18"/>
        <v>0</v>
      </c>
      <c r="V45" s="51">
        <f t="shared" si="19"/>
        <v>0</v>
      </c>
      <c r="W45" s="51">
        <f t="shared" si="26"/>
        <v>3.6500000000000019E-2</v>
      </c>
      <c r="X45" s="60">
        <f t="shared" si="27"/>
        <v>1.2921551005587213E-2</v>
      </c>
      <c r="Y45" s="51">
        <f t="shared" si="28"/>
        <v>1.6535769097911146</v>
      </c>
      <c r="Z45" s="51">
        <f t="shared" si="20"/>
        <v>1.6535769097911146</v>
      </c>
      <c r="AB45" s="56">
        <f t="shared" si="24"/>
        <v>4.37</v>
      </c>
    </row>
    <row r="46" spans="1:33" ht="20.25" customHeight="1" x14ac:dyDescent="0.3">
      <c r="A46" s="22">
        <f t="shared" si="8"/>
        <v>41</v>
      </c>
      <c r="B46" s="11">
        <v>41782</v>
      </c>
      <c r="C46" s="57">
        <v>0.64513888888888882</v>
      </c>
      <c r="D46" s="13">
        <v>44.3</v>
      </c>
      <c r="E46" s="14">
        <v>39.700000000000003</v>
      </c>
      <c r="F46" s="23">
        <v>0</v>
      </c>
      <c r="G46" s="16">
        <v>3</v>
      </c>
      <c r="H46" s="24"/>
      <c r="I46" s="18">
        <v>1</v>
      </c>
      <c r="J46" s="18">
        <v>1</v>
      </c>
      <c r="K46" s="19">
        <v>0</v>
      </c>
      <c r="L46" s="14">
        <v>6</v>
      </c>
      <c r="M46" s="25"/>
      <c r="N46" s="26"/>
      <c r="O46" s="48">
        <f t="shared" si="25"/>
        <v>1.000000003259629</v>
      </c>
      <c r="P46" s="51">
        <f t="shared" si="17"/>
        <v>1.8166666666511446</v>
      </c>
      <c r="Q46" s="48">
        <f t="shared" si="21"/>
        <v>0</v>
      </c>
      <c r="R46" s="49">
        <f t="shared" si="22"/>
        <v>4059</v>
      </c>
      <c r="S46" s="50">
        <f t="shared" si="23"/>
        <v>0</v>
      </c>
      <c r="T46" s="59">
        <v>97.4</v>
      </c>
      <c r="U46" s="48">
        <f t="shared" si="18"/>
        <v>0</v>
      </c>
      <c r="V46" s="51">
        <f t="shared" si="19"/>
        <v>0</v>
      </c>
      <c r="W46" s="51">
        <f t="shared" si="26"/>
        <v>3.9500000000000021E-2</v>
      </c>
      <c r="X46" s="60">
        <f t="shared" si="27"/>
        <v>1.3775567307265611E-2</v>
      </c>
      <c r="Y46" s="51">
        <f t="shared" si="28"/>
        <v>1.4990501983662741</v>
      </c>
      <c r="Z46" s="51">
        <f t="shared" si="20"/>
        <v>1.4990501983662741</v>
      </c>
      <c r="AB46" s="56">
        <f t="shared" si="24"/>
        <v>3.97</v>
      </c>
    </row>
    <row r="47" spans="1:33" ht="20.25" customHeight="1" x14ac:dyDescent="0.3">
      <c r="A47" s="22">
        <f t="shared" si="8"/>
        <v>42</v>
      </c>
      <c r="B47" s="11">
        <v>41782</v>
      </c>
      <c r="C47" s="57">
        <v>0.64583333333333337</v>
      </c>
      <c r="D47" s="13">
        <v>40.5</v>
      </c>
      <c r="E47" s="14">
        <v>36.4</v>
      </c>
      <c r="F47" s="23">
        <v>0</v>
      </c>
      <c r="G47" s="16">
        <v>3</v>
      </c>
      <c r="H47" s="24"/>
      <c r="I47" s="18">
        <v>1</v>
      </c>
      <c r="J47" s="18">
        <v>1</v>
      </c>
      <c r="K47" s="19">
        <v>0</v>
      </c>
      <c r="L47" s="14">
        <v>6</v>
      </c>
      <c r="M47" s="25"/>
      <c r="N47" s="26"/>
      <c r="O47" s="48">
        <f t="shared" si="25"/>
        <v>1.000000003259629</v>
      </c>
      <c r="P47" s="51">
        <f t="shared" si="17"/>
        <v>1.8333333333721384</v>
      </c>
      <c r="Q47" s="48">
        <f t="shared" si="21"/>
        <v>0</v>
      </c>
      <c r="R47" s="49">
        <f t="shared" si="22"/>
        <v>4059</v>
      </c>
      <c r="S47" s="50">
        <f t="shared" si="23"/>
        <v>0</v>
      </c>
      <c r="T47" s="59">
        <v>97.4</v>
      </c>
      <c r="U47" s="48">
        <f t="shared" si="18"/>
        <v>0</v>
      </c>
      <c r="V47" s="51">
        <f t="shared" si="19"/>
        <v>0</v>
      </c>
      <c r="W47" s="51">
        <f t="shared" si="26"/>
        <v>4.2500000000000024E-2</v>
      </c>
      <c r="X47" s="60">
        <f t="shared" si="27"/>
        <v>1.4522461764296422E-2</v>
      </c>
      <c r="Y47" s="51">
        <f t="shared" si="28"/>
        <v>1.4882564935528273</v>
      </c>
      <c r="Z47" s="51">
        <f t="shared" si="20"/>
        <v>1.4882564935528273</v>
      </c>
      <c r="AB47" s="56">
        <f t="shared" si="24"/>
        <v>3.6399999999999997</v>
      </c>
    </row>
    <row r="48" spans="1:33" ht="20.25" customHeight="1" x14ac:dyDescent="0.3">
      <c r="A48" s="22">
        <f t="shared" si="8"/>
        <v>43</v>
      </c>
      <c r="B48" s="11">
        <v>41782</v>
      </c>
      <c r="C48" s="57">
        <v>0.64652777777777781</v>
      </c>
      <c r="D48" s="13">
        <v>37.799999999999997</v>
      </c>
      <c r="E48" s="14">
        <v>34.299999999999997</v>
      </c>
      <c r="F48" s="23">
        <v>0</v>
      </c>
      <c r="G48" s="16">
        <v>3</v>
      </c>
      <c r="H48" s="24"/>
      <c r="I48" s="18">
        <v>1</v>
      </c>
      <c r="J48" s="18">
        <v>1</v>
      </c>
      <c r="K48" s="19">
        <v>0</v>
      </c>
      <c r="L48" s="14">
        <v>6</v>
      </c>
      <c r="M48" s="25"/>
      <c r="N48" s="26"/>
      <c r="O48" s="48">
        <f t="shared" si="25"/>
        <v>0.99999999278225005</v>
      </c>
      <c r="P48" s="51">
        <f t="shared" si="17"/>
        <v>1.8499999999185093</v>
      </c>
      <c r="Q48" s="48">
        <f t="shared" si="21"/>
        <v>0</v>
      </c>
      <c r="R48" s="49">
        <f t="shared" si="22"/>
        <v>4059</v>
      </c>
      <c r="S48" s="50">
        <f t="shared" si="23"/>
        <v>0</v>
      </c>
      <c r="T48" s="59">
        <v>97.4</v>
      </c>
      <c r="U48" s="48">
        <f t="shared" si="18"/>
        <v>0</v>
      </c>
      <c r="V48" s="51">
        <f t="shared" si="19"/>
        <v>0</v>
      </c>
      <c r="W48" s="51">
        <f t="shared" si="26"/>
        <v>4.5500000000000027E-2</v>
      </c>
      <c r="X48" s="60">
        <f t="shared" si="27"/>
        <v>1.5018706708798473E-2</v>
      </c>
      <c r="Y48" s="51">
        <f t="shared" si="28"/>
        <v>1.5140522337988385</v>
      </c>
      <c r="Z48" s="51">
        <f t="shared" si="20"/>
        <v>1.5140522337988385</v>
      </c>
      <c r="AB48" s="56">
        <f t="shared" si="24"/>
        <v>3.4299999999999997</v>
      </c>
    </row>
    <row r="49" spans="1:32" ht="20.25" customHeight="1" x14ac:dyDescent="0.3">
      <c r="A49" s="22">
        <f t="shared" si="8"/>
        <v>44</v>
      </c>
      <c r="B49" s="11">
        <v>41782</v>
      </c>
      <c r="C49" s="57">
        <v>0.64722222222222225</v>
      </c>
      <c r="D49" s="13">
        <v>36.1</v>
      </c>
      <c r="E49" s="14">
        <v>32.9</v>
      </c>
      <c r="F49" s="23">
        <v>0</v>
      </c>
      <c r="G49" s="16">
        <v>4.5</v>
      </c>
      <c r="H49" s="24"/>
      <c r="I49" s="18">
        <v>1</v>
      </c>
      <c r="J49" s="18">
        <v>1</v>
      </c>
      <c r="K49" s="19">
        <v>0</v>
      </c>
      <c r="L49" s="14">
        <v>6</v>
      </c>
      <c r="M49" s="25"/>
      <c r="N49" s="26"/>
      <c r="O49" s="48">
        <f t="shared" si="25"/>
        <v>1.000000003259629</v>
      </c>
      <c r="P49" s="51">
        <f t="shared" si="17"/>
        <v>1.8666666666395031</v>
      </c>
      <c r="Q49" s="48">
        <f t="shared" si="21"/>
        <v>0</v>
      </c>
      <c r="R49" s="49">
        <f t="shared" si="22"/>
        <v>4059</v>
      </c>
      <c r="S49" s="50">
        <f t="shared" si="23"/>
        <v>0</v>
      </c>
      <c r="T49" s="59">
        <v>97.4</v>
      </c>
      <c r="U49" s="48">
        <f t="shared" si="18"/>
        <v>0</v>
      </c>
      <c r="V49" s="51">
        <f t="shared" si="19"/>
        <v>0</v>
      </c>
      <c r="W49" s="51">
        <f t="shared" si="26"/>
        <v>5.0000000000000024E-2</v>
      </c>
      <c r="X49" s="60">
        <f t="shared" si="27"/>
        <v>1.5358921924073397E-2</v>
      </c>
      <c r="Y49" s="51">
        <f t="shared" si="28"/>
        <v>1.6044342780672702</v>
      </c>
      <c r="Z49" s="51">
        <f t="shared" si="20"/>
        <v>1.6044342780672702</v>
      </c>
      <c r="AB49" s="56">
        <f t="shared" si="24"/>
        <v>3.29</v>
      </c>
    </row>
    <row r="50" spans="1:32" ht="20.25" customHeight="1" x14ac:dyDescent="0.3">
      <c r="A50" s="22">
        <f t="shared" si="8"/>
        <v>45</v>
      </c>
      <c r="B50" s="11">
        <v>41782</v>
      </c>
      <c r="C50" s="57">
        <v>0.66388888888888886</v>
      </c>
      <c r="D50" s="13">
        <v>44.6</v>
      </c>
      <c r="E50" s="14">
        <v>40.799999999999997</v>
      </c>
      <c r="F50" s="23">
        <v>0</v>
      </c>
      <c r="G50" s="16">
        <v>5</v>
      </c>
      <c r="H50" s="24"/>
      <c r="I50" s="18">
        <v>1</v>
      </c>
      <c r="J50" s="18">
        <v>1</v>
      </c>
      <c r="K50" s="19">
        <v>0</v>
      </c>
      <c r="L50" s="14">
        <v>6</v>
      </c>
      <c r="M50" s="25"/>
      <c r="N50" s="26"/>
      <c r="O50" s="48">
        <f t="shared" si="25"/>
        <v>24.000000004889444</v>
      </c>
      <c r="P50" s="51">
        <f t="shared" si="17"/>
        <v>2.2666666667209938</v>
      </c>
      <c r="Q50" s="48">
        <f t="shared" si="21"/>
        <v>0</v>
      </c>
      <c r="R50" s="49">
        <f t="shared" si="22"/>
        <v>4059</v>
      </c>
      <c r="S50" s="50">
        <f t="shared" si="23"/>
        <v>0</v>
      </c>
      <c r="T50" s="59">
        <v>97.4</v>
      </c>
      <c r="U50" s="48">
        <f t="shared" si="18"/>
        <v>0</v>
      </c>
      <c r="V50" s="51">
        <f t="shared" si="19"/>
        <v>0</v>
      </c>
      <c r="W50" s="51">
        <f t="shared" si="26"/>
        <v>5.5000000000000021E-2</v>
      </c>
      <c r="X50" s="60">
        <f t="shared" si="27"/>
        <v>1.3535238420518746E-2</v>
      </c>
      <c r="Y50" s="51">
        <f t="shared" si="28"/>
        <v>2.2637218623735471</v>
      </c>
      <c r="Z50" s="51">
        <f t="shared" si="20"/>
        <v>2.2637218623735471</v>
      </c>
      <c r="AB50" s="56">
        <f t="shared" si="24"/>
        <v>4.08</v>
      </c>
    </row>
    <row r="51" spans="1:32" ht="20.25" customHeight="1" x14ac:dyDescent="0.3">
      <c r="A51" s="22">
        <f t="shared" si="8"/>
        <v>46</v>
      </c>
      <c r="B51" s="11">
        <v>41782</v>
      </c>
      <c r="C51" s="57">
        <v>0.6645833333333333</v>
      </c>
      <c r="D51" s="13">
        <v>44.6</v>
      </c>
      <c r="E51" s="14">
        <v>40.799999999999997</v>
      </c>
      <c r="F51" s="23">
        <v>0</v>
      </c>
      <c r="G51" s="16">
        <v>4</v>
      </c>
      <c r="H51" s="24"/>
      <c r="I51" s="18">
        <v>1</v>
      </c>
      <c r="J51" s="18">
        <v>1</v>
      </c>
      <c r="K51" s="19">
        <v>0</v>
      </c>
      <c r="L51" s="14">
        <v>6</v>
      </c>
      <c r="M51" s="25"/>
      <c r="N51" s="26"/>
      <c r="O51" s="48">
        <f t="shared" si="25"/>
        <v>0.99999999278225005</v>
      </c>
      <c r="P51" s="51">
        <f t="shared" si="17"/>
        <v>2.2833333332673647</v>
      </c>
      <c r="Q51" s="48">
        <f t="shared" si="21"/>
        <v>0</v>
      </c>
      <c r="R51" s="49">
        <f t="shared" si="22"/>
        <v>4059</v>
      </c>
      <c r="S51" s="50">
        <f t="shared" si="23"/>
        <v>0</v>
      </c>
      <c r="T51" s="59">
        <v>97.4</v>
      </c>
      <c r="U51" s="48">
        <f t="shared" si="18"/>
        <v>0</v>
      </c>
      <c r="V51" s="51">
        <f t="shared" si="19"/>
        <v>0</v>
      </c>
      <c r="W51" s="51">
        <f t="shared" si="26"/>
        <v>5.9000000000000025E-2</v>
      </c>
      <c r="X51" s="60">
        <f t="shared" si="27"/>
        <v>1.3535238420518746E-2</v>
      </c>
      <c r="Y51" s="51">
        <f t="shared" si="28"/>
        <v>2.3504211913978503</v>
      </c>
      <c r="Z51" s="51">
        <f t="shared" si="20"/>
        <v>2.3504211913978503</v>
      </c>
      <c r="AB51" s="56">
        <f t="shared" si="24"/>
        <v>4.08</v>
      </c>
    </row>
    <row r="52" spans="1:32" ht="20.25" customHeight="1" x14ac:dyDescent="0.3">
      <c r="A52" s="22">
        <f t="shared" si="8"/>
        <v>47</v>
      </c>
      <c r="B52" s="11">
        <v>41782</v>
      </c>
      <c r="C52" s="57">
        <v>0.66527777777777775</v>
      </c>
      <c r="D52" s="13">
        <v>39.200000000000003</v>
      </c>
      <c r="E52" s="14">
        <v>35.9</v>
      </c>
      <c r="F52" s="23">
        <v>0</v>
      </c>
      <c r="G52" s="16">
        <v>7</v>
      </c>
      <c r="H52" s="24"/>
      <c r="I52" s="18">
        <v>1</v>
      </c>
      <c r="J52" s="18">
        <v>1</v>
      </c>
      <c r="K52" s="19">
        <v>0</v>
      </c>
      <c r="L52" s="14">
        <v>6</v>
      </c>
      <c r="M52" s="25"/>
      <c r="N52" s="26"/>
      <c r="O52" s="48">
        <f t="shared" si="25"/>
        <v>1.000000003259629</v>
      </c>
      <c r="P52" s="51">
        <f t="shared" si="17"/>
        <v>2.2999999999883585</v>
      </c>
      <c r="Q52" s="48">
        <f t="shared" si="21"/>
        <v>0</v>
      </c>
      <c r="R52" s="49">
        <f t="shared" si="22"/>
        <v>4059</v>
      </c>
      <c r="S52" s="50">
        <f t="shared" si="23"/>
        <v>0</v>
      </c>
      <c r="T52" s="59">
        <v>97.4</v>
      </c>
      <c r="U52" s="48">
        <f t="shared" si="18"/>
        <v>0</v>
      </c>
      <c r="V52" s="51">
        <f t="shared" si="19"/>
        <v>0</v>
      </c>
      <c r="W52" s="51">
        <f t="shared" si="26"/>
        <v>6.6000000000000031E-2</v>
      </c>
      <c r="X52" s="60">
        <f t="shared" si="27"/>
        <v>1.4639107418919791E-2</v>
      </c>
      <c r="Y52" s="51">
        <f t="shared" si="28"/>
        <v>2.2822466195131428</v>
      </c>
      <c r="Z52" s="51">
        <f t="shared" si="20"/>
        <v>2.2822466195131428</v>
      </c>
      <c r="AB52" s="56">
        <f t="shared" si="24"/>
        <v>3.59</v>
      </c>
    </row>
    <row r="53" spans="1:32" ht="20.25" customHeight="1" x14ac:dyDescent="0.3">
      <c r="A53" s="22">
        <f t="shared" si="8"/>
        <v>48</v>
      </c>
      <c r="B53" s="11">
        <v>41782</v>
      </c>
      <c r="C53" s="57">
        <v>0.66597222222222219</v>
      </c>
      <c r="D53" s="13">
        <v>36.6</v>
      </c>
      <c r="E53" s="14">
        <v>34.4</v>
      </c>
      <c r="F53" s="23">
        <v>0</v>
      </c>
      <c r="G53" s="16">
        <v>5</v>
      </c>
      <c r="H53" s="24"/>
      <c r="I53" s="18">
        <v>1</v>
      </c>
      <c r="J53" s="18">
        <v>1</v>
      </c>
      <c r="K53" s="19">
        <v>0</v>
      </c>
      <c r="L53" s="14">
        <v>6</v>
      </c>
      <c r="M53" s="25"/>
      <c r="N53" s="26"/>
      <c r="O53" s="48">
        <f t="shared" si="25"/>
        <v>1.000000003259629</v>
      </c>
      <c r="P53" s="51">
        <f t="shared" si="17"/>
        <v>2.3166666667093523</v>
      </c>
      <c r="Q53" s="48">
        <f t="shared" si="21"/>
        <v>0</v>
      </c>
      <c r="R53" s="49">
        <f t="shared" si="22"/>
        <v>4059</v>
      </c>
      <c r="S53" s="50">
        <f t="shared" si="23"/>
        <v>0</v>
      </c>
      <c r="T53" s="59">
        <v>97.4</v>
      </c>
      <c r="U53" s="48">
        <f t="shared" si="18"/>
        <v>0</v>
      </c>
      <c r="V53" s="51">
        <f t="shared" si="19"/>
        <v>0</v>
      </c>
      <c r="W53" s="51">
        <f t="shared" si="26"/>
        <v>7.1000000000000035E-2</v>
      </c>
      <c r="X53" s="60">
        <f t="shared" si="27"/>
        <v>1.4994695991760312E-2</v>
      </c>
      <c r="Y53" s="51">
        <f t="shared" si="28"/>
        <v>2.3834084450558488</v>
      </c>
      <c r="Z53" s="51">
        <f t="shared" si="20"/>
        <v>2.3834084450558488</v>
      </c>
      <c r="AB53" s="56">
        <f t="shared" si="24"/>
        <v>3.44</v>
      </c>
    </row>
    <row r="54" spans="1:32" ht="20.25" customHeight="1" x14ac:dyDescent="0.3">
      <c r="A54" s="22">
        <f t="shared" si="8"/>
        <v>49</v>
      </c>
      <c r="B54" s="11">
        <v>41782</v>
      </c>
      <c r="C54" s="57">
        <v>0.66736111111111107</v>
      </c>
      <c r="D54" s="13">
        <v>35.6</v>
      </c>
      <c r="E54" s="14">
        <v>32.700000000000003</v>
      </c>
      <c r="F54" s="23">
        <v>0</v>
      </c>
      <c r="G54" s="16">
        <v>7</v>
      </c>
      <c r="H54" s="24"/>
      <c r="I54" s="18">
        <v>1</v>
      </c>
      <c r="J54" s="18">
        <v>1</v>
      </c>
      <c r="K54" s="19">
        <v>0</v>
      </c>
      <c r="L54" s="14">
        <v>6</v>
      </c>
      <c r="M54" s="25"/>
      <c r="N54" s="26"/>
      <c r="O54" s="48">
        <f t="shared" si="25"/>
        <v>1.9999999960418791</v>
      </c>
      <c r="P54" s="51">
        <f t="shared" si="17"/>
        <v>2.3499999999767169</v>
      </c>
      <c r="Q54" s="48">
        <f t="shared" si="21"/>
        <v>0</v>
      </c>
      <c r="R54" s="49">
        <f t="shared" si="22"/>
        <v>4059</v>
      </c>
      <c r="S54" s="50">
        <f t="shared" si="23"/>
        <v>0</v>
      </c>
      <c r="T54" s="59">
        <v>97.4</v>
      </c>
      <c r="U54" s="48">
        <f t="shared" si="18"/>
        <v>0</v>
      </c>
      <c r="V54" s="51">
        <f t="shared" si="19"/>
        <v>0</v>
      </c>
      <c r="W54" s="51">
        <f t="shared" si="26"/>
        <v>7.8000000000000042E-2</v>
      </c>
      <c r="X54" s="60">
        <f t="shared" si="27"/>
        <v>1.5408149195858022E-2</v>
      </c>
      <c r="Y54" s="51">
        <f t="shared" si="28"/>
        <v>2.4919178690264503</v>
      </c>
      <c r="Z54" s="51">
        <f t="shared" si="20"/>
        <v>2.4919178690264503</v>
      </c>
      <c r="AB54" s="56">
        <f t="shared" si="24"/>
        <v>3.2700000000000005</v>
      </c>
    </row>
    <row r="55" spans="1:32" ht="20.25" customHeight="1" x14ac:dyDescent="0.3">
      <c r="A55" s="22">
        <f t="shared" si="8"/>
        <v>50</v>
      </c>
      <c r="B55" s="11">
        <v>41782</v>
      </c>
      <c r="C55" s="57">
        <v>0.7090277777777777</v>
      </c>
      <c r="D55" s="13">
        <v>45.9</v>
      </c>
      <c r="E55" s="14">
        <v>42.9</v>
      </c>
      <c r="F55" s="23">
        <v>0</v>
      </c>
      <c r="G55" s="16">
        <v>6</v>
      </c>
      <c r="H55" s="24"/>
      <c r="I55" s="18">
        <v>1</v>
      </c>
      <c r="J55" s="18">
        <v>1</v>
      </c>
      <c r="K55" s="19">
        <v>0</v>
      </c>
      <c r="L55" s="14">
        <v>6</v>
      </c>
      <c r="M55" s="25"/>
      <c r="N55" s="26"/>
      <c r="O55" s="48">
        <f t="shared" si="25"/>
        <v>59.99999999650754</v>
      </c>
      <c r="P55" s="51">
        <f t="shared" si="17"/>
        <v>3.3499999999185093</v>
      </c>
      <c r="Q55" s="48">
        <f t="shared" si="21"/>
        <v>0</v>
      </c>
      <c r="R55" s="49">
        <f t="shared" si="22"/>
        <v>4059</v>
      </c>
      <c r="S55" s="50">
        <f t="shared" si="23"/>
        <v>0</v>
      </c>
      <c r="T55" s="59">
        <v>97.4</v>
      </c>
      <c r="U55" s="48">
        <f t="shared" si="18"/>
        <v>0</v>
      </c>
      <c r="V55" s="51">
        <f t="shared" si="19"/>
        <v>0</v>
      </c>
      <c r="W55" s="51">
        <f t="shared" si="26"/>
        <v>8.4000000000000047E-2</v>
      </c>
      <c r="X55" s="60">
        <f t="shared" si="27"/>
        <v>1.3088009922816118E-2</v>
      </c>
      <c r="Y55" s="51">
        <f t="shared" si="28"/>
        <v>3.6115535048166301</v>
      </c>
      <c r="Z55" s="51">
        <f t="shared" si="20"/>
        <v>3.6115535048166301</v>
      </c>
      <c r="AB55" s="56">
        <f t="shared" si="24"/>
        <v>4.29</v>
      </c>
    </row>
    <row r="56" spans="1:32" ht="20.25" customHeight="1" x14ac:dyDescent="0.3">
      <c r="A56" s="22">
        <f t="shared" si="8"/>
        <v>51</v>
      </c>
      <c r="B56" s="11">
        <v>41782</v>
      </c>
      <c r="C56" s="57">
        <v>0.70972222222222225</v>
      </c>
      <c r="D56" s="13">
        <v>43.5</v>
      </c>
      <c r="E56" s="14">
        <v>40.4</v>
      </c>
      <c r="F56" s="23">
        <v>0</v>
      </c>
      <c r="G56" s="16">
        <v>8</v>
      </c>
      <c r="H56" s="24"/>
      <c r="I56" s="18">
        <v>1</v>
      </c>
      <c r="J56" s="18">
        <v>1</v>
      </c>
      <c r="K56" s="19">
        <v>0</v>
      </c>
      <c r="L56" s="14">
        <v>6</v>
      </c>
      <c r="M56" s="25"/>
      <c r="N56" s="26"/>
      <c r="O56" s="48">
        <f t="shared" si="25"/>
        <v>1.000000003259629</v>
      </c>
      <c r="P56" s="51">
        <f t="shared" si="17"/>
        <v>3.3666666666395031</v>
      </c>
      <c r="Q56" s="48">
        <f t="shared" si="21"/>
        <v>0</v>
      </c>
      <c r="R56" s="49">
        <f t="shared" si="22"/>
        <v>4059</v>
      </c>
      <c r="S56" s="50">
        <f t="shared" si="23"/>
        <v>0</v>
      </c>
      <c r="T56" s="59">
        <v>97.4</v>
      </c>
      <c r="U56" s="48">
        <f t="shared" si="18"/>
        <v>0</v>
      </c>
      <c r="V56" s="51">
        <f t="shared" si="19"/>
        <v>0</v>
      </c>
      <c r="W56" s="51">
        <f t="shared" si="26"/>
        <v>9.2000000000000054E-2</v>
      </c>
      <c r="X56" s="60">
        <f t="shared" si="27"/>
        <v>1.3622141740403902E-2</v>
      </c>
      <c r="Y56" s="51">
        <f t="shared" si="28"/>
        <v>3.6089162417620333</v>
      </c>
      <c r="Z56" s="51">
        <f t="shared" si="20"/>
        <v>3.6089162417620333</v>
      </c>
      <c r="AB56" s="56">
        <f t="shared" si="24"/>
        <v>4.04</v>
      </c>
    </row>
    <row r="57" spans="1:32" ht="20.25" customHeight="1" x14ac:dyDescent="0.3">
      <c r="A57" s="22">
        <f t="shared" si="8"/>
        <v>52</v>
      </c>
      <c r="B57" s="11">
        <v>41782</v>
      </c>
      <c r="C57" s="57">
        <v>0.7104166666666667</v>
      </c>
      <c r="D57" s="13">
        <v>40.700000000000003</v>
      </c>
      <c r="E57" s="14">
        <v>37.1</v>
      </c>
      <c r="F57" s="23">
        <v>0</v>
      </c>
      <c r="G57" s="16">
        <v>11</v>
      </c>
      <c r="H57" s="24"/>
      <c r="I57" s="18">
        <v>1</v>
      </c>
      <c r="J57" s="18">
        <v>1</v>
      </c>
      <c r="K57" s="19">
        <v>0</v>
      </c>
      <c r="L57" s="14">
        <v>6</v>
      </c>
      <c r="M57" s="25"/>
      <c r="N57" s="26"/>
      <c r="O57" s="48">
        <f t="shared" si="25"/>
        <v>1.000000003259629</v>
      </c>
      <c r="P57" s="51">
        <f t="shared" si="17"/>
        <v>3.3833333333604969</v>
      </c>
      <c r="Q57" s="48">
        <f t="shared" si="21"/>
        <v>0</v>
      </c>
      <c r="R57" s="49">
        <f t="shared" si="22"/>
        <v>4059</v>
      </c>
      <c r="S57" s="50">
        <f t="shared" si="23"/>
        <v>0</v>
      </c>
      <c r="T57" s="59">
        <v>97.4</v>
      </c>
      <c r="U57" s="48">
        <f t="shared" si="18"/>
        <v>0</v>
      </c>
      <c r="V57" s="51">
        <f t="shared" si="19"/>
        <v>0</v>
      </c>
      <c r="W57" s="51">
        <f t="shared" si="26"/>
        <v>0.10300000000000005</v>
      </c>
      <c r="X57" s="60">
        <f t="shared" si="27"/>
        <v>1.4360717650336084E-2</v>
      </c>
      <c r="Y57" s="51">
        <f t="shared" si="28"/>
        <v>3.7132501966951055</v>
      </c>
      <c r="Z57" s="51">
        <f t="shared" si="20"/>
        <v>3.7132501966951055</v>
      </c>
      <c r="AB57" s="56">
        <f t="shared" si="24"/>
        <v>3.71</v>
      </c>
    </row>
    <row r="58" spans="1:32" ht="20.25" customHeight="1" x14ac:dyDescent="0.3">
      <c r="A58" s="22">
        <f t="shared" si="8"/>
        <v>53</v>
      </c>
      <c r="B58" s="11">
        <v>41782</v>
      </c>
      <c r="C58" s="57">
        <v>0.74652777777777779</v>
      </c>
      <c r="D58" s="13">
        <v>44.6</v>
      </c>
      <c r="E58" s="14">
        <v>35</v>
      </c>
      <c r="F58" s="23">
        <v>375</v>
      </c>
      <c r="G58" s="16">
        <v>0</v>
      </c>
      <c r="H58" s="24"/>
      <c r="I58" s="18">
        <v>1</v>
      </c>
      <c r="J58" s="18">
        <v>1</v>
      </c>
      <c r="K58" s="19">
        <v>0</v>
      </c>
      <c r="L58" s="14">
        <v>6</v>
      </c>
      <c r="M58" s="25" t="s">
        <v>44</v>
      </c>
      <c r="N58" s="26" t="s">
        <v>49</v>
      </c>
      <c r="O58" s="48">
        <f t="shared" si="25"/>
        <v>52.000000001862645</v>
      </c>
      <c r="P58" s="51">
        <f t="shared" si="17"/>
        <v>4.2500000000582077</v>
      </c>
      <c r="Q58" s="48">
        <f t="shared" si="21"/>
        <v>372.07258064516128</v>
      </c>
      <c r="R58" s="49">
        <f t="shared" si="22"/>
        <v>4059</v>
      </c>
      <c r="S58" s="50">
        <f t="shared" si="23"/>
        <v>0</v>
      </c>
      <c r="T58" s="59">
        <v>97.4</v>
      </c>
      <c r="U58" s="48">
        <f t="shared" si="18"/>
        <v>362.39869354838709</v>
      </c>
      <c r="V58" s="51">
        <f t="shared" si="19"/>
        <v>0.36239869354838711</v>
      </c>
      <c r="W58" s="51">
        <f t="shared" si="26"/>
        <v>0.10300000000000005</v>
      </c>
      <c r="X58" s="60">
        <f t="shared" si="27"/>
        <v>1.4851435660069186E-2</v>
      </c>
      <c r="Y58" s="51">
        <f t="shared" si="28"/>
        <v>3.5170868515839953</v>
      </c>
      <c r="Z58" s="51">
        <f t="shared" si="20"/>
        <v>3.8794855451323822</v>
      </c>
      <c r="AB58" s="56">
        <f t="shared" si="24"/>
        <v>3.5</v>
      </c>
    </row>
    <row r="59" spans="1:32" ht="20.25" customHeight="1" x14ac:dyDescent="0.3">
      <c r="A59" s="22">
        <f t="shared" si="8"/>
        <v>54</v>
      </c>
      <c r="B59" s="11">
        <v>41782</v>
      </c>
      <c r="C59" s="57">
        <v>0.7583333333333333</v>
      </c>
      <c r="D59" s="13">
        <v>37.700000000000003</v>
      </c>
      <c r="E59" s="14">
        <v>31.1</v>
      </c>
      <c r="F59" s="23">
        <v>390</v>
      </c>
      <c r="G59" s="16">
        <v>25</v>
      </c>
      <c r="H59" s="24"/>
      <c r="I59" s="18">
        <v>1</v>
      </c>
      <c r="J59" s="18">
        <v>1</v>
      </c>
      <c r="K59" s="19">
        <v>0</v>
      </c>
      <c r="L59" s="14">
        <v>6</v>
      </c>
      <c r="M59" s="25" t="s">
        <v>45</v>
      </c>
      <c r="N59" s="26"/>
      <c r="O59" s="48">
        <f t="shared" si="25"/>
        <v>16.999999992549419</v>
      </c>
      <c r="P59" s="51">
        <f t="shared" si="17"/>
        <v>4.5333333332673647</v>
      </c>
      <c r="Q59" s="48">
        <f t="shared" si="21"/>
        <v>386.95548387096767</v>
      </c>
      <c r="R59" s="49">
        <f t="shared" si="22"/>
        <v>4059</v>
      </c>
      <c r="S59" s="50">
        <f t="shared" si="23"/>
        <v>0</v>
      </c>
      <c r="T59" s="59">
        <v>97.4</v>
      </c>
      <c r="U59" s="48">
        <f t="shared" si="18"/>
        <v>376.89464129032257</v>
      </c>
      <c r="V59" s="51">
        <f t="shared" si="19"/>
        <v>0.73929333483870963</v>
      </c>
      <c r="W59" s="51">
        <f t="shared" si="26"/>
        <v>0.12800000000000006</v>
      </c>
      <c r="X59" s="60">
        <f t="shared" si="27"/>
        <v>1.580769011906576E-2</v>
      </c>
      <c r="Y59" s="51">
        <f t="shared" si="28"/>
        <v>3.886652585884192</v>
      </c>
      <c r="Z59" s="51">
        <f t="shared" si="20"/>
        <v>4.6259459207229021</v>
      </c>
      <c r="AB59" s="56">
        <f t="shared" si="24"/>
        <v>3.1100000000000003</v>
      </c>
    </row>
    <row r="60" spans="1:32" ht="20.25" customHeight="1" x14ac:dyDescent="0.3">
      <c r="A60" s="22">
        <f t="shared" si="8"/>
        <v>55</v>
      </c>
      <c r="B60" s="11">
        <v>41782</v>
      </c>
      <c r="C60" s="57">
        <v>0.87916666666666676</v>
      </c>
      <c r="D60" s="13">
        <v>44.9</v>
      </c>
      <c r="E60" s="14">
        <v>43.7</v>
      </c>
      <c r="F60" s="23">
        <v>468</v>
      </c>
      <c r="G60" s="16">
        <v>0</v>
      </c>
      <c r="H60" s="24"/>
      <c r="I60" s="18">
        <v>1</v>
      </c>
      <c r="J60" s="18">
        <v>1</v>
      </c>
      <c r="K60" s="19">
        <v>0</v>
      </c>
      <c r="L60" s="14">
        <v>6</v>
      </c>
      <c r="M60" s="25" t="s">
        <v>46</v>
      </c>
      <c r="N60" s="26" t="s">
        <v>50</v>
      </c>
      <c r="O60" s="48">
        <f t="shared" si="25"/>
        <v>174.00000000139698</v>
      </c>
      <c r="P60" s="51">
        <f t="shared" si="17"/>
        <v>7.4333333332906477</v>
      </c>
      <c r="Q60" s="48">
        <f t="shared" si="21"/>
        <v>464.34658064516134</v>
      </c>
      <c r="R60" s="49">
        <f t="shared" si="22"/>
        <v>4059</v>
      </c>
      <c r="S60" s="50">
        <f t="shared" si="23"/>
        <v>0</v>
      </c>
      <c r="T60" s="59">
        <v>97.4</v>
      </c>
      <c r="U60" s="48">
        <f t="shared" si="18"/>
        <v>452.27356954838717</v>
      </c>
      <c r="V60" s="51">
        <f t="shared" si="19"/>
        <v>1.1915669043870967</v>
      </c>
      <c r="W60" s="51">
        <f t="shared" si="26"/>
        <v>0.12800000000000006</v>
      </c>
      <c r="X60" s="60">
        <f t="shared" si="27"/>
        <v>1.2921551005587213E-2</v>
      </c>
      <c r="Y60" s="51">
        <f t="shared" si="28"/>
        <v>5.575946277656211</v>
      </c>
      <c r="Z60" s="51">
        <f t="shared" si="20"/>
        <v>6.7675131820433077</v>
      </c>
      <c r="AB60" s="56">
        <f t="shared" si="24"/>
        <v>4.37</v>
      </c>
    </row>
    <row r="61" spans="1:32" ht="20.25" customHeight="1" x14ac:dyDescent="0.3">
      <c r="A61" s="22">
        <f t="shared" si="8"/>
        <v>56</v>
      </c>
      <c r="B61" s="11">
        <v>41782</v>
      </c>
      <c r="C61" s="57">
        <v>0.88680555555555562</v>
      </c>
      <c r="D61" s="13">
        <v>44.1</v>
      </c>
      <c r="E61" s="14">
        <v>38.1</v>
      </c>
      <c r="F61" s="23">
        <v>370</v>
      </c>
      <c r="G61" s="16">
        <v>8</v>
      </c>
      <c r="H61" s="24"/>
      <c r="I61" s="18">
        <v>1</v>
      </c>
      <c r="J61" s="18">
        <v>1</v>
      </c>
      <c r="K61" s="19">
        <v>0</v>
      </c>
      <c r="L61" s="14">
        <v>6</v>
      </c>
      <c r="M61" s="25" t="s">
        <v>47</v>
      </c>
      <c r="N61" s="26"/>
      <c r="O61" s="48">
        <f t="shared" si="25"/>
        <v>11.000000004423782</v>
      </c>
      <c r="P61" s="51">
        <f t="shared" si="17"/>
        <v>7.6166666666977108</v>
      </c>
      <c r="Q61" s="48">
        <f t="shared" si="21"/>
        <v>367.11161290322582</v>
      </c>
      <c r="R61" s="49">
        <f t="shared" si="22"/>
        <v>4059</v>
      </c>
      <c r="S61" s="50">
        <f t="shared" si="23"/>
        <v>0</v>
      </c>
      <c r="T61" s="59">
        <v>97.4</v>
      </c>
      <c r="U61" s="48">
        <f t="shared" si="18"/>
        <v>357.56671096774198</v>
      </c>
      <c r="V61" s="51">
        <f t="shared" si="19"/>
        <v>1.5491336153548387</v>
      </c>
      <c r="W61" s="51">
        <f t="shared" si="26"/>
        <v>0.13600000000000007</v>
      </c>
      <c r="X61" s="60">
        <f t="shared" si="27"/>
        <v>1.4132774575295879E-2</v>
      </c>
      <c r="Y61" s="51">
        <f t="shared" si="28"/>
        <v>5.0228231702772881</v>
      </c>
      <c r="Z61" s="51">
        <f t="shared" si="20"/>
        <v>6.5719567856321266</v>
      </c>
      <c r="AB61" s="56">
        <f t="shared" si="24"/>
        <v>3.81</v>
      </c>
    </row>
    <row r="62" spans="1:32" ht="20.25" customHeight="1" x14ac:dyDescent="0.3">
      <c r="A62" s="22">
        <f t="shared" si="8"/>
        <v>57</v>
      </c>
      <c r="B62" s="11">
        <v>41783</v>
      </c>
      <c r="C62" s="57">
        <v>0.40138888888888885</v>
      </c>
      <c r="D62" s="13">
        <v>40</v>
      </c>
      <c r="E62" s="14">
        <v>39.299999999999997</v>
      </c>
      <c r="F62" s="23">
        <v>421</v>
      </c>
      <c r="G62" s="16">
        <v>0</v>
      </c>
      <c r="H62" s="24"/>
      <c r="I62" s="18">
        <v>1</v>
      </c>
      <c r="J62" s="18">
        <v>1</v>
      </c>
      <c r="K62" s="19">
        <v>0</v>
      </c>
      <c r="L62" s="14">
        <v>6</v>
      </c>
      <c r="M62" s="25" t="s">
        <v>48</v>
      </c>
      <c r="N62" s="26" t="s">
        <v>51</v>
      </c>
      <c r="O62" s="48">
        <f t="shared" si="25"/>
        <v>740.99999999511056</v>
      </c>
      <c r="P62" s="51">
        <f t="shared" si="17"/>
        <v>19.96666666661622</v>
      </c>
      <c r="Q62" s="48">
        <f t="shared" si="21"/>
        <v>417.71348387096776</v>
      </c>
      <c r="R62" s="49">
        <f t="shared" si="22"/>
        <v>4059</v>
      </c>
      <c r="S62" s="50">
        <f t="shared" si="23"/>
        <v>0</v>
      </c>
      <c r="T62" s="59">
        <v>97.4</v>
      </c>
      <c r="U62" s="48">
        <f t="shared" si="18"/>
        <v>406.8529332903226</v>
      </c>
      <c r="V62" s="51">
        <f t="shared" si="19"/>
        <v>1.9559865486451613</v>
      </c>
      <c r="W62" s="51">
        <f t="shared" si="26"/>
        <v>0.13600000000000007</v>
      </c>
      <c r="X62" s="60">
        <f t="shared" si="27"/>
        <v>1.3864013664478503E-2</v>
      </c>
      <c r="Y62" s="51">
        <f t="shared" si="28"/>
        <v>5.2338196536467363</v>
      </c>
      <c r="Z62" s="51">
        <f t="shared" si="20"/>
        <v>7.1898062022918978</v>
      </c>
      <c r="AB62" s="56">
        <f t="shared" si="24"/>
        <v>3.9299999999999997</v>
      </c>
    </row>
    <row r="63" spans="1:32" ht="20.25" customHeight="1" x14ac:dyDescent="0.3">
      <c r="A63" s="22">
        <f t="shared" si="8"/>
        <v>58</v>
      </c>
      <c r="B63" s="11">
        <v>41783</v>
      </c>
      <c r="C63" s="57">
        <v>0.40972222222222227</v>
      </c>
      <c r="D63" s="13">
        <v>39.200000000000003</v>
      </c>
      <c r="E63" s="14">
        <v>34.200000000000003</v>
      </c>
      <c r="F63" s="23">
        <v>410</v>
      </c>
      <c r="G63" s="16">
        <v>4</v>
      </c>
      <c r="H63" s="24"/>
      <c r="I63" s="18">
        <v>1</v>
      </c>
      <c r="J63" s="18">
        <v>1</v>
      </c>
      <c r="K63" s="19">
        <v>0</v>
      </c>
      <c r="L63" s="14">
        <v>6</v>
      </c>
      <c r="M63" s="25" t="s">
        <v>52</v>
      </c>
      <c r="N63" s="26" t="s">
        <v>53</v>
      </c>
      <c r="O63" s="48">
        <f t="shared" si="25"/>
        <v>11.999999997206032</v>
      </c>
      <c r="P63" s="51">
        <f t="shared" si="17"/>
        <v>20.166666666569654</v>
      </c>
      <c r="Q63" s="48">
        <f t="shared" si="21"/>
        <v>406.79935483870969</v>
      </c>
      <c r="R63" s="49">
        <f t="shared" si="22"/>
        <v>4059</v>
      </c>
      <c r="S63" s="50">
        <f t="shared" si="23"/>
        <v>0</v>
      </c>
      <c r="T63" s="59">
        <v>97.4</v>
      </c>
      <c r="U63" s="48">
        <f t="shared" si="18"/>
        <v>396.22257161290327</v>
      </c>
      <c r="V63" s="51">
        <f t="shared" si="19"/>
        <v>2.3522091202580646</v>
      </c>
      <c r="W63" s="51">
        <f t="shared" si="26"/>
        <v>0.14000000000000007</v>
      </c>
      <c r="X63" s="60">
        <f t="shared" si="27"/>
        <v>1.5042755873734008E-2</v>
      </c>
      <c r="Y63" s="51">
        <f t="shared" si="28"/>
        <v>4.6571051008438156</v>
      </c>
      <c r="Z63" s="51">
        <f t="shared" si="20"/>
        <v>7.0093142211018797</v>
      </c>
      <c r="AB63" s="56">
        <f t="shared" si="24"/>
        <v>3.4200000000000004</v>
      </c>
      <c r="AD63" s="3">
        <v>10909.796518434017</v>
      </c>
      <c r="AE63" s="3">
        <f>AD63*F63</f>
        <v>4473016.5725579467</v>
      </c>
      <c r="AF63" s="3">
        <f>F63</f>
        <v>410</v>
      </c>
    </row>
    <row r="64" spans="1:32" ht="20.25" customHeight="1" x14ac:dyDescent="0.3">
      <c r="A64" s="22">
        <f t="shared" si="8"/>
        <v>59</v>
      </c>
      <c r="B64" s="11">
        <v>41783</v>
      </c>
      <c r="C64" s="57">
        <v>0.45069444444444445</v>
      </c>
      <c r="D64" s="13">
        <v>34.4</v>
      </c>
      <c r="E64" s="14">
        <v>33.6</v>
      </c>
      <c r="F64" s="23">
        <v>360</v>
      </c>
      <c r="G64" s="16">
        <v>0</v>
      </c>
      <c r="H64" s="24"/>
      <c r="I64" s="18">
        <v>1</v>
      </c>
      <c r="J64" s="18">
        <v>1</v>
      </c>
      <c r="K64" s="19">
        <v>0</v>
      </c>
      <c r="L64" s="14">
        <v>6</v>
      </c>
      <c r="M64" s="25" t="s">
        <v>54</v>
      </c>
      <c r="N64" s="26" t="s">
        <v>55</v>
      </c>
      <c r="O64" s="48">
        <f t="shared" si="25"/>
        <v>59.00000000372529</v>
      </c>
      <c r="P64" s="51">
        <f t="shared" si="17"/>
        <v>21.149999999965075</v>
      </c>
      <c r="Q64" s="48">
        <f t="shared" si="21"/>
        <v>357.18967741935489</v>
      </c>
      <c r="R64" s="49">
        <f t="shared" si="22"/>
        <v>4059</v>
      </c>
      <c r="S64" s="50">
        <f t="shared" si="23"/>
        <v>0</v>
      </c>
      <c r="T64" s="59">
        <v>97.4</v>
      </c>
      <c r="U64" s="48">
        <f t="shared" si="18"/>
        <v>347.90274580645172</v>
      </c>
      <c r="V64" s="51">
        <f t="shared" si="19"/>
        <v>2.7001118660645163</v>
      </c>
      <c r="W64" s="51">
        <f t="shared" si="26"/>
        <v>0.14000000000000007</v>
      </c>
      <c r="X64" s="60">
        <f t="shared" si="27"/>
        <v>1.5187861723790911E-2</v>
      </c>
      <c r="Y64" s="51">
        <f t="shared" si="28"/>
        <v>4.611807468900837</v>
      </c>
      <c r="Z64" s="51">
        <f t="shared" si="20"/>
        <v>7.3119193349653528</v>
      </c>
      <c r="AB64" s="56">
        <f t="shared" si="24"/>
        <v>3.3600000000000003</v>
      </c>
    </row>
    <row r="65" spans="1:32" ht="20.25" customHeight="1" x14ac:dyDescent="0.3">
      <c r="A65" s="22">
        <f t="shared" si="8"/>
        <v>60</v>
      </c>
      <c r="B65" s="11">
        <v>41783</v>
      </c>
      <c r="C65" s="57">
        <v>0.4597222222222222</v>
      </c>
      <c r="D65" s="13">
        <v>33.700000000000003</v>
      </c>
      <c r="E65" s="14">
        <v>27.4</v>
      </c>
      <c r="F65" s="23">
        <v>420</v>
      </c>
      <c r="G65" s="16">
        <v>9</v>
      </c>
      <c r="H65" s="24"/>
      <c r="I65" s="18">
        <v>1</v>
      </c>
      <c r="J65" s="18">
        <v>1</v>
      </c>
      <c r="K65" s="19">
        <v>0</v>
      </c>
      <c r="L65" s="14">
        <v>6</v>
      </c>
      <c r="M65" s="25" t="s">
        <v>56</v>
      </c>
      <c r="N65" s="26" t="s">
        <v>57</v>
      </c>
      <c r="O65" s="48">
        <f t="shared" si="25"/>
        <v>13.000000000465661</v>
      </c>
      <c r="P65" s="51">
        <f t="shared" si="17"/>
        <v>21.366666666639503</v>
      </c>
      <c r="Q65" s="48">
        <f t="shared" si="21"/>
        <v>416.72129032258067</v>
      </c>
      <c r="R65" s="49">
        <f t="shared" si="22"/>
        <v>4059</v>
      </c>
      <c r="S65" s="50">
        <f t="shared" si="23"/>
        <v>0</v>
      </c>
      <c r="T65" s="59">
        <v>97.4</v>
      </c>
      <c r="U65" s="48">
        <f t="shared" si="18"/>
        <v>405.88653677419359</v>
      </c>
      <c r="V65" s="51">
        <f t="shared" si="19"/>
        <v>3.10599840283871</v>
      </c>
      <c r="W65" s="51">
        <f t="shared" si="26"/>
        <v>0.14900000000000008</v>
      </c>
      <c r="X65" s="60">
        <f t="shared" si="27"/>
        <v>1.6771760308246619E-2</v>
      </c>
      <c r="Y65" s="51">
        <f t="shared" si="28"/>
        <v>3.9900713549825406</v>
      </c>
      <c r="Z65" s="51">
        <f t="shared" si="20"/>
        <v>7.096069757821251</v>
      </c>
      <c r="AB65" s="56">
        <f t="shared" si="24"/>
        <v>2.7399999999999998</v>
      </c>
    </row>
    <row r="66" spans="1:32" ht="20.25" customHeight="1" x14ac:dyDescent="0.3">
      <c r="A66" s="22">
        <f t="shared" si="8"/>
        <v>61</v>
      </c>
      <c r="B66" s="11">
        <v>41783</v>
      </c>
      <c r="C66" s="57">
        <v>0.59097222222222223</v>
      </c>
      <c r="D66" s="13">
        <v>28.1</v>
      </c>
      <c r="E66" s="14">
        <v>27.6</v>
      </c>
      <c r="F66" s="23">
        <v>295</v>
      </c>
      <c r="G66" s="16">
        <v>0</v>
      </c>
      <c r="H66" s="24"/>
      <c r="I66" s="18">
        <v>1</v>
      </c>
      <c r="J66" s="18">
        <v>1</v>
      </c>
      <c r="K66" s="19">
        <v>0</v>
      </c>
      <c r="L66" s="14">
        <v>6</v>
      </c>
      <c r="M66" s="25" t="s">
        <v>58</v>
      </c>
      <c r="N66" s="26" t="s">
        <v>59</v>
      </c>
      <c r="O66" s="48">
        <f t="shared" si="25"/>
        <v>188.99999999790452</v>
      </c>
      <c r="P66" s="51">
        <f t="shared" si="17"/>
        <v>24.516666666604578</v>
      </c>
      <c r="Q66" s="48">
        <f t="shared" si="21"/>
        <v>292.69709677419354</v>
      </c>
      <c r="R66" s="49">
        <f t="shared" si="22"/>
        <v>4059</v>
      </c>
      <c r="S66" s="50">
        <f t="shared" si="23"/>
        <v>0</v>
      </c>
      <c r="T66" s="59">
        <v>97.4</v>
      </c>
      <c r="U66" s="48">
        <f t="shared" si="18"/>
        <v>285.08697225806452</v>
      </c>
      <c r="V66" s="51">
        <f t="shared" si="19"/>
        <v>3.3910853750967744</v>
      </c>
      <c r="W66" s="51">
        <f t="shared" si="26"/>
        <v>0.14900000000000008</v>
      </c>
      <c r="X66" s="60">
        <f t="shared" si="27"/>
        <v>1.6718176455150061E-2</v>
      </c>
      <c r="Y66" s="51">
        <f t="shared" si="28"/>
        <v>4.0628038607024903</v>
      </c>
      <c r="Z66" s="51">
        <f t="shared" si="20"/>
        <v>7.4538892357992648</v>
      </c>
      <c r="AB66" s="56">
        <f t="shared" si="24"/>
        <v>2.7600000000000002</v>
      </c>
    </row>
    <row r="67" spans="1:32" ht="20.25" customHeight="1" x14ac:dyDescent="0.3">
      <c r="A67" s="22">
        <f t="shared" si="8"/>
        <v>62</v>
      </c>
      <c r="B67" s="11">
        <v>41783</v>
      </c>
      <c r="C67" s="57">
        <v>0.59652777777777777</v>
      </c>
      <c r="D67" s="13">
        <v>27.6</v>
      </c>
      <c r="E67" s="14">
        <v>22.9</v>
      </c>
      <c r="F67" s="23">
        <v>360</v>
      </c>
      <c r="G67" s="16">
        <v>9</v>
      </c>
      <c r="H67" s="24"/>
      <c r="I67" s="18">
        <v>1</v>
      </c>
      <c r="J67" s="18">
        <v>1</v>
      </c>
      <c r="K67" s="19">
        <v>0</v>
      </c>
      <c r="L67" s="14">
        <v>6</v>
      </c>
      <c r="M67" s="25" t="s">
        <v>60</v>
      </c>
      <c r="N67" s="26" t="s">
        <v>61</v>
      </c>
      <c r="O67" s="48">
        <f t="shared" si="25"/>
        <v>8.0000000051222742</v>
      </c>
      <c r="P67" s="51">
        <f t="shared" si="17"/>
        <v>24.650000000023283</v>
      </c>
      <c r="Q67" s="48">
        <f t="shared" si="21"/>
        <v>357.18967741935489</v>
      </c>
      <c r="R67" s="49">
        <f t="shared" si="22"/>
        <v>4059</v>
      </c>
      <c r="S67" s="50">
        <f t="shared" si="23"/>
        <v>0</v>
      </c>
      <c r="T67" s="59">
        <v>97.4</v>
      </c>
      <c r="U67" s="48">
        <f t="shared" si="18"/>
        <v>347.90274580645172</v>
      </c>
      <c r="V67" s="51">
        <f t="shared" si="19"/>
        <v>3.7389881209032261</v>
      </c>
      <c r="W67" s="51">
        <f t="shared" si="26"/>
        <v>0.15800000000000008</v>
      </c>
      <c r="X67" s="60">
        <f t="shared" si="27"/>
        <v>1.8023861844614582E-2</v>
      </c>
      <c r="Y67" s="51">
        <f t="shared" si="28"/>
        <v>3.5691807393596342</v>
      </c>
      <c r="Z67" s="51">
        <f t="shared" si="20"/>
        <v>7.3081688602628603</v>
      </c>
      <c r="AB67" s="56">
        <f t="shared" si="24"/>
        <v>2.29</v>
      </c>
      <c r="AD67" s="3">
        <v>10767.068995859552</v>
      </c>
      <c r="AE67" s="3">
        <f>AD67*F67</f>
        <v>3876144.8385094386</v>
      </c>
      <c r="AF67" s="3">
        <f>F67</f>
        <v>360</v>
      </c>
    </row>
    <row r="68" spans="1:32" ht="20.25" customHeight="1" x14ac:dyDescent="0.3">
      <c r="A68" s="22">
        <f t="shared" si="8"/>
        <v>63</v>
      </c>
      <c r="B68" s="11">
        <v>41783</v>
      </c>
      <c r="C68" s="57">
        <v>0.67152777777777783</v>
      </c>
      <c r="D68" s="13">
        <v>23.5</v>
      </c>
      <c r="E68" s="14">
        <v>23.2</v>
      </c>
      <c r="F68" s="23">
        <v>248</v>
      </c>
      <c r="G68" s="16">
        <v>0</v>
      </c>
      <c r="H68" s="24"/>
      <c r="I68" s="18">
        <v>1</v>
      </c>
      <c r="J68" s="18">
        <v>1</v>
      </c>
      <c r="K68" s="19">
        <v>0</v>
      </c>
      <c r="L68" s="14">
        <v>6</v>
      </c>
      <c r="M68" s="25" t="s">
        <v>62</v>
      </c>
      <c r="N68" s="26" t="s">
        <v>63</v>
      </c>
      <c r="O68" s="48">
        <f t="shared" si="25"/>
        <v>107.99999999580905</v>
      </c>
      <c r="P68" s="51">
        <f t="shared" si="17"/>
        <v>26.449999999953434</v>
      </c>
      <c r="Q68" s="48">
        <f t="shared" si="21"/>
        <v>246.06399999999999</v>
      </c>
      <c r="R68" s="49">
        <f t="shared" si="22"/>
        <v>4059</v>
      </c>
      <c r="S68" s="50">
        <f t="shared" si="23"/>
        <v>0</v>
      </c>
      <c r="T68" s="59">
        <v>97.4</v>
      </c>
      <c r="U68" s="48">
        <f t="shared" si="18"/>
        <v>239.666336</v>
      </c>
      <c r="V68" s="51">
        <f t="shared" si="19"/>
        <v>3.9786544569032261</v>
      </c>
      <c r="W68" s="51">
        <f t="shared" si="26"/>
        <v>0.15800000000000008</v>
      </c>
      <c r="X68" s="60">
        <f t="shared" si="27"/>
        <v>1.7937554610831338E-2</v>
      </c>
      <c r="Y68" s="51">
        <f t="shared" si="28"/>
        <v>3.6460869513945315</v>
      </c>
      <c r="Z68" s="51">
        <f t="shared" si="20"/>
        <v>7.6247414082977576</v>
      </c>
      <c r="AB68" s="56">
        <f t="shared" si="24"/>
        <v>2.3199999999999998</v>
      </c>
    </row>
    <row r="69" spans="1:32" ht="20.25" customHeight="1" x14ac:dyDescent="0.3">
      <c r="A69" s="22">
        <f t="shared" si="8"/>
        <v>64</v>
      </c>
      <c r="B69" s="11">
        <v>41783</v>
      </c>
      <c r="C69" s="57">
        <v>0.67638888888888893</v>
      </c>
      <c r="D69" s="13">
        <v>23.2</v>
      </c>
      <c r="E69" s="14">
        <v>17</v>
      </c>
      <c r="F69" s="23">
        <v>830</v>
      </c>
      <c r="G69" s="16">
        <v>18</v>
      </c>
      <c r="H69" s="24"/>
      <c r="I69" s="18">
        <v>1</v>
      </c>
      <c r="J69" s="18">
        <v>1</v>
      </c>
      <c r="K69" s="19">
        <v>0</v>
      </c>
      <c r="L69" s="14">
        <v>6</v>
      </c>
      <c r="M69" s="25" t="s">
        <v>64</v>
      </c>
      <c r="N69" s="26" t="s">
        <v>65</v>
      </c>
      <c r="O69" s="48">
        <f t="shared" si="25"/>
        <v>7.0000000018626451</v>
      </c>
      <c r="P69" s="51">
        <f t="shared" si="17"/>
        <v>26.566666666651145</v>
      </c>
      <c r="Q69" s="48">
        <f t="shared" si="21"/>
        <v>823.5206451612903</v>
      </c>
      <c r="R69" s="49">
        <f t="shared" si="22"/>
        <v>4059</v>
      </c>
      <c r="S69" s="50">
        <f t="shared" si="23"/>
        <v>0</v>
      </c>
      <c r="T69" s="59">
        <v>97.4</v>
      </c>
      <c r="U69" s="48">
        <f t="shared" si="18"/>
        <v>802.10910838709674</v>
      </c>
      <c r="V69" s="51">
        <f t="shared" si="19"/>
        <v>4.7807635652903224</v>
      </c>
      <c r="W69" s="51">
        <f t="shared" si="26"/>
        <v>0.17600000000000007</v>
      </c>
      <c r="X69" s="60">
        <f t="shared" si="27"/>
        <v>1.9808210788335775E-2</v>
      </c>
      <c r="Y69" s="51">
        <f t="shared" si="28"/>
        <v>2.9871832761993056</v>
      </c>
      <c r="Z69" s="51">
        <f t="shared" si="20"/>
        <v>7.7679468414896284</v>
      </c>
      <c r="AB69" s="56">
        <f t="shared" si="24"/>
        <v>1.7</v>
      </c>
      <c r="AD69" s="3">
        <v>10136.339871782975</v>
      </c>
      <c r="AE69" s="3">
        <f>AD69*F69</f>
        <v>8413162.0935798697</v>
      </c>
      <c r="AF69" s="3">
        <f>F69</f>
        <v>830</v>
      </c>
    </row>
    <row r="70" spans="1:32" ht="20.25" customHeight="1" x14ac:dyDescent="0.3">
      <c r="A70" s="22">
        <f t="shared" si="8"/>
        <v>65</v>
      </c>
      <c r="B70" s="11">
        <v>41783</v>
      </c>
      <c r="C70" s="57">
        <v>0.77222222222222225</v>
      </c>
      <c r="D70" s="13">
        <v>18</v>
      </c>
      <c r="E70" s="14">
        <v>17.7</v>
      </c>
      <c r="F70" s="23">
        <v>189</v>
      </c>
      <c r="G70" s="16">
        <v>0</v>
      </c>
      <c r="H70" s="24"/>
      <c r="I70" s="18">
        <v>1</v>
      </c>
      <c r="J70" s="18">
        <v>1</v>
      </c>
      <c r="K70" s="19">
        <v>0</v>
      </c>
      <c r="L70" s="14">
        <v>6</v>
      </c>
      <c r="M70" s="25" t="s">
        <v>66</v>
      </c>
      <c r="N70" s="26" t="s">
        <v>67</v>
      </c>
      <c r="O70" s="48">
        <f t="shared" si="25"/>
        <v>137.99999999930151</v>
      </c>
      <c r="P70" s="51">
        <f t="shared" si="17"/>
        <v>28.866666666639503</v>
      </c>
      <c r="Q70" s="48">
        <f t="shared" ref="Q70:Q96" si="29">F70*$F$2/1000*273/(273+L70)</f>
        <v>187.52458064516125</v>
      </c>
      <c r="R70" s="49">
        <f t="shared" ref="R70:R96" si="30">$N$2-K70</f>
        <v>4059</v>
      </c>
      <c r="S70" s="50">
        <f t="shared" ref="S70:S96" si="31">IF(I70=J70,0,R70*(J70-I70))*273/(273+L70)</f>
        <v>0</v>
      </c>
      <c r="T70" s="59">
        <v>97.4</v>
      </c>
      <c r="U70" s="48">
        <f t="shared" si="18"/>
        <v>182.64894154838709</v>
      </c>
      <c r="V70" s="51">
        <f t="shared" si="19"/>
        <v>4.9634125068387096</v>
      </c>
      <c r="W70" s="51">
        <f t="shared" si="26"/>
        <v>0.17600000000000007</v>
      </c>
      <c r="X70" s="60">
        <f t="shared" si="27"/>
        <v>1.9587596573259945E-2</v>
      </c>
      <c r="Y70" s="51">
        <f t="shared" si="28"/>
        <v>3.1406223560251614</v>
      </c>
      <c r="Z70" s="51">
        <f t="shared" si="20"/>
        <v>8.1040348628638714</v>
      </c>
      <c r="AB70" s="56">
        <f t="shared" ref="AB70:AB96" si="32">E70/10</f>
        <v>1.77</v>
      </c>
    </row>
    <row r="71" spans="1:32" ht="20.25" customHeight="1" x14ac:dyDescent="0.3">
      <c r="A71" s="22">
        <f t="shared" si="8"/>
        <v>66</v>
      </c>
      <c r="B71" s="11">
        <v>41783</v>
      </c>
      <c r="C71" s="57">
        <v>0.77638888888888891</v>
      </c>
      <c r="D71" s="13">
        <v>17.8</v>
      </c>
      <c r="E71" s="14">
        <v>10.9</v>
      </c>
      <c r="F71" s="23">
        <v>1170</v>
      </c>
      <c r="G71" s="16">
        <v>11</v>
      </c>
      <c r="H71" s="24"/>
      <c r="I71" s="18">
        <v>1</v>
      </c>
      <c r="J71" s="18">
        <v>1</v>
      </c>
      <c r="K71" s="19">
        <v>0</v>
      </c>
      <c r="L71" s="14">
        <v>6</v>
      </c>
      <c r="M71" s="25" t="s">
        <v>68</v>
      </c>
      <c r="N71" s="26" t="s">
        <v>69</v>
      </c>
      <c r="O71" s="48">
        <f t="shared" ref="O71:O96" si="33">((B71 +C71) - (B70 + C70)) * 24 * 60</f>
        <v>5.9999999986030161</v>
      </c>
      <c r="P71" s="51">
        <f t="shared" si="17"/>
        <v>28.96666666661622</v>
      </c>
      <c r="Q71" s="48">
        <f t="shared" si="29"/>
        <v>1160.8664516129033</v>
      </c>
      <c r="R71" s="49">
        <f t="shared" si="30"/>
        <v>4059</v>
      </c>
      <c r="S71" s="50">
        <f t="shared" si="31"/>
        <v>0</v>
      </c>
      <c r="T71" s="59">
        <v>97.4</v>
      </c>
      <c r="U71" s="48">
        <f t="shared" si="18"/>
        <v>1130.6839238709681</v>
      </c>
      <c r="V71" s="51">
        <f t="shared" si="19"/>
        <v>6.0940964307096781</v>
      </c>
      <c r="W71" s="51">
        <f t="shared" ref="W71:W96" si="34">W70+(G71+K71)/1000</f>
        <v>0.18700000000000008</v>
      </c>
      <c r="X71" s="60">
        <f t="shared" ref="X71:X96" si="35">0.026*EXP(-0.016*E71)</f>
        <v>2.1838981998968096E-2</v>
      </c>
      <c r="Y71" s="51">
        <f t="shared" ref="Y71:Y96" si="36">(W71-(X71-X70))*(E71+1)*1*273/(273+L71)*T71/100</f>
        <v>2.095296812685115</v>
      </c>
      <c r="Z71" s="51">
        <f t="shared" si="20"/>
        <v>8.1893932433947931</v>
      </c>
      <c r="AB71" s="56">
        <f t="shared" si="32"/>
        <v>1.0900000000000001</v>
      </c>
      <c r="AD71" s="3">
        <v>10258.598862406445</v>
      </c>
      <c r="AE71" s="3">
        <f>AD71*F71</f>
        <v>12002560.66901554</v>
      </c>
      <c r="AF71" s="3">
        <f>F71</f>
        <v>1170</v>
      </c>
    </row>
    <row r="72" spans="1:32" ht="20.25" customHeight="1" x14ac:dyDescent="0.3">
      <c r="A72" s="22">
        <f t="shared" ref="A72:A96" si="37">A71+1</f>
        <v>67</v>
      </c>
      <c r="B72" s="11">
        <v>41784</v>
      </c>
      <c r="C72" s="57">
        <v>0.4465277777777778</v>
      </c>
      <c r="D72" s="13">
        <v>12.9</v>
      </c>
      <c r="E72" s="14">
        <v>12.7</v>
      </c>
      <c r="F72" s="23">
        <v>136</v>
      </c>
      <c r="G72" s="16">
        <v>0</v>
      </c>
      <c r="H72" s="24"/>
      <c r="I72" s="18">
        <v>1</v>
      </c>
      <c r="J72" s="18">
        <v>1</v>
      </c>
      <c r="K72" s="19">
        <v>0</v>
      </c>
      <c r="L72" s="14">
        <v>6</v>
      </c>
      <c r="M72" s="25" t="s">
        <v>70</v>
      </c>
      <c r="N72" s="26" t="s">
        <v>71</v>
      </c>
      <c r="O72" s="48">
        <f t="shared" si="33"/>
        <v>965.00000000232831</v>
      </c>
      <c r="P72" s="51">
        <f t="shared" si="17"/>
        <v>45.049999999988358</v>
      </c>
      <c r="Q72" s="48">
        <f t="shared" si="29"/>
        <v>134.93832258064518</v>
      </c>
      <c r="R72" s="49">
        <f t="shared" si="30"/>
        <v>4059</v>
      </c>
      <c r="S72" s="50">
        <f t="shared" si="31"/>
        <v>0</v>
      </c>
      <c r="T72" s="59">
        <v>97.4</v>
      </c>
      <c r="U72" s="48">
        <f t="shared" si="18"/>
        <v>131.42992619354843</v>
      </c>
      <c r="V72" s="51">
        <f t="shared" si="19"/>
        <v>6.2255263569032264</v>
      </c>
      <c r="W72" s="51">
        <f t="shared" si="34"/>
        <v>0.18700000000000008</v>
      </c>
      <c r="X72" s="60">
        <f t="shared" si="35"/>
        <v>2.1218990054646832E-2</v>
      </c>
      <c r="Y72" s="51">
        <f t="shared" si="36"/>
        <v>2.4497235700441271</v>
      </c>
      <c r="Z72" s="51">
        <f t="shared" si="20"/>
        <v>8.6752499269473535</v>
      </c>
      <c r="AB72" s="56">
        <f t="shared" si="32"/>
        <v>1.27</v>
      </c>
    </row>
    <row r="73" spans="1:32" ht="20.25" customHeight="1" x14ac:dyDescent="0.3">
      <c r="A73" s="22">
        <f t="shared" si="37"/>
        <v>68</v>
      </c>
      <c r="B73" s="11">
        <v>41784</v>
      </c>
      <c r="C73" s="57">
        <v>0.44930555555555557</v>
      </c>
      <c r="D73" s="13">
        <v>12.7</v>
      </c>
      <c r="E73" s="14">
        <v>3.3</v>
      </c>
      <c r="F73" s="23">
        <v>1605</v>
      </c>
      <c r="G73" s="16">
        <v>40</v>
      </c>
      <c r="H73" s="24"/>
      <c r="I73" s="18">
        <v>1</v>
      </c>
      <c r="J73" s="18">
        <v>1</v>
      </c>
      <c r="K73" s="19">
        <v>0</v>
      </c>
      <c r="L73" s="14">
        <v>6</v>
      </c>
      <c r="M73" s="25" t="s">
        <v>72</v>
      </c>
      <c r="N73" s="26"/>
      <c r="O73" s="48">
        <f t="shared" si="33"/>
        <v>4.0000000025611371</v>
      </c>
      <c r="P73" s="51">
        <f t="shared" si="17"/>
        <v>45.116666666697711</v>
      </c>
      <c r="Q73" s="48">
        <f t="shared" si="29"/>
        <v>1592.4706451612903</v>
      </c>
      <c r="R73" s="49">
        <f t="shared" si="30"/>
        <v>4059</v>
      </c>
      <c r="S73" s="50">
        <f t="shared" si="31"/>
        <v>0</v>
      </c>
      <c r="T73" s="59">
        <v>97.4</v>
      </c>
      <c r="U73" s="48">
        <f t="shared" si="18"/>
        <v>1551.066408387097</v>
      </c>
      <c r="V73" s="51">
        <f t="shared" si="19"/>
        <v>7.7765927652903235</v>
      </c>
      <c r="W73" s="51">
        <f t="shared" si="34"/>
        <v>0.22700000000000009</v>
      </c>
      <c r="X73" s="60">
        <f t="shared" si="35"/>
        <v>2.4662812393795145E-2</v>
      </c>
      <c r="Y73" s="51">
        <f t="shared" si="36"/>
        <v>0.91616254277855191</v>
      </c>
      <c r="Z73" s="51">
        <f t="shared" si="20"/>
        <v>8.6927553080688753</v>
      </c>
      <c r="AB73" s="56">
        <f t="shared" si="32"/>
        <v>0.32999999999999996</v>
      </c>
    </row>
    <row r="74" spans="1:32" ht="20.25" customHeight="1" x14ac:dyDescent="0.3">
      <c r="A74" s="22">
        <f t="shared" si="37"/>
        <v>69</v>
      </c>
      <c r="B74" s="11">
        <v>41784</v>
      </c>
      <c r="C74" s="57">
        <v>0.50902777777777775</v>
      </c>
      <c r="D74" s="13">
        <v>4.5</v>
      </c>
      <c r="E74" s="14">
        <v>4.4000000000000004</v>
      </c>
      <c r="F74" s="23">
        <v>47</v>
      </c>
      <c r="G74" s="16">
        <v>0</v>
      </c>
      <c r="H74" s="24"/>
      <c r="I74" s="18">
        <v>1</v>
      </c>
      <c r="J74" s="18">
        <v>1</v>
      </c>
      <c r="K74" s="19">
        <v>0</v>
      </c>
      <c r="L74" s="14">
        <v>6</v>
      </c>
      <c r="M74" s="25" t="s">
        <v>73</v>
      </c>
      <c r="N74" s="26" t="s">
        <v>74</v>
      </c>
      <c r="O74" s="48">
        <f t="shared" si="33"/>
        <v>85.999999997438863</v>
      </c>
      <c r="P74" s="51">
        <f t="shared" si="17"/>
        <v>46.549999999988358</v>
      </c>
      <c r="Q74" s="48">
        <f t="shared" si="29"/>
        <v>46.633096774193547</v>
      </c>
      <c r="R74" s="49">
        <f t="shared" si="30"/>
        <v>4059</v>
      </c>
      <c r="S74" s="50">
        <f t="shared" si="31"/>
        <v>0</v>
      </c>
      <c r="T74" s="59">
        <v>97.4</v>
      </c>
      <c r="U74" s="48">
        <f t="shared" si="18"/>
        <v>45.420636258064512</v>
      </c>
      <c r="V74" s="51">
        <f t="shared" si="19"/>
        <v>7.8220134015483884</v>
      </c>
      <c r="W74" s="51">
        <f t="shared" si="34"/>
        <v>0.22700000000000009</v>
      </c>
      <c r="X74" s="60">
        <f t="shared" si="35"/>
        <v>2.4232544360948217E-2</v>
      </c>
      <c r="Y74" s="51">
        <f t="shared" si="36"/>
        <v>1.1704676734929695</v>
      </c>
      <c r="Z74" s="51">
        <f t="shared" si="20"/>
        <v>8.9924810750413577</v>
      </c>
      <c r="AB74" s="56">
        <f t="shared" si="32"/>
        <v>0.44000000000000006</v>
      </c>
    </row>
    <row r="75" spans="1:32" ht="20.25" customHeight="1" x14ac:dyDescent="0.3">
      <c r="A75" s="22">
        <f t="shared" si="37"/>
        <v>70</v>
      </c>
      <c r="B75" s="11">
        <v>41784</v>
      </c>
      <c r="C75" s="57">
        <v>0.51458333333333328</v>
      </c>
      <c r="D75" s="13">
        <v>4.5</v>
      </c>
      <c r="E75" s="14">
        <v>0.1</v>
      </c>
      <c r="F75" s="23">
        <v>1090</v>
      </c>
      <c r="G75" s="16">
        <v>16</v>
      </c>
      <c r="H75" s="24"/>
      <c r="I75" s="18">
        <v>1</v>
      </c>
      <c r="J75" s="18">
        <v>1</v>
      </c>
      <c r="K75" s="19">
        <v>0</v>
      </c>
      <c r="L75" s="14">
        <v>6</v>
      </c>
      <c r="M75" s="25" t="s">
        <v>75</v>
      </c>
      <c r="N75" s="26" t="s">
        <v>76</v>
      </c>
      <c r="O75" s="48">
        <f t="shared" si="33"/>
        <v>7.9999999946448952</v>
      </c>
      <c r="P75" s="51">
        <f t="shared" si="17"/>
        <v>46.68333333323244</v>
      </c>
      <c r="Q75" s="48">
        <f t="shared" si="29"/>
        <v>1081.4909677419355</v>
      </c>
      <c r="R75" s="49">
        <f t="shared" si="30"/>
        <v>4059</v>
      </c>
      <c r="S75" s="50">
        <f t="shared" si="31"/>
        <v>0</v>
      </c>
      <c r="T75" s="59">
        <v>97.4</v>
      </c>
      <c r="U75" s="48">
        <f t="shared" si="18"/>
        <v>1053.3722025806453</v>
      </c>
      <c r="V75" s="51">
        <f t="shared" si="19"/>
        <v>8.8753856041290344</v>
      </c>
      <c r="W75" s="51">
        <f t="shared" si="34"/>
        <v>0.2430000000000001</v>
      </c>
      <c r="X75" s="60">
        <f t="shared" si="35"/>
        <v>2.5958433262257764E-2</v>
      </c>
      <c r="Y75" s="51">
        <f t="shared" si="36"/>
        <v>0.2529419195638008</v>
      </c>
      <c r="Z75" s="51">
        <f t="shared" si="20"/>
        <v>9.1283275236928354</v>
      </c>
      <c r="AB75" s="56">
        <f t="shared" si="32"/>
        <v>0.01</v>
      </c>
      <c r="AD75" s="3">
        <v>8823.8843626836551</v>
      </c>
      <c r="AE75" s="3">
        <f>AD75*F75</f>
        <v>9618033.9553251844</v>
      </c>
      <c r="AF75" s="3">
        <f>F75</f>
        <v>1090</v>
      </c>
    </row>
    <row r="76" spans="1:32" ht="20.25" customHeight="1" x14ac:dyDescent="0.3">
      <c r="A76" s="22">
        <f t="shared" si="37"/>
        <v>71</v>
      </c>
      <c r="B76" s="11">
        <v>41784</v>
      </c>
      <c r="C76" s="57">
        <v>0.6</v>
      </c>
      <c r="D76" s="13">
        <v>0.8</v>
      </c>
      <c r="E76" s="14">
        <v>0.7</v>
      </c>
      <c r="F76" s="23">
        <v>11</v>
      </c>
      <c r="G76" s="16">
        <v>0</v>
      </c>
      <c r="H76" s="24"/>
      <c r="I76" s="18">
        <v>1</v>
      </c>
      <c r="J76" s="18">
        <v>1</v>
      </c>
      <c r="K76" s="19">
        <v>0</v>
      </c>
      <c r="L76" s="14">
        <v>6</v>
      </c>
      <c r="M76" s="25" t="s">
        <v>77</v>
      </c>
      <c r="N76" s="26"/>
      <c r="O76" s="48">
        <f t="shared" si="33"/>
        <v>123.00000000279397</v>
      </c>
      <c r="P76" s="51">
        <f t="shared" si="17"/>
        <v>48.733333333279006</v>
      </c>
      <c r="Q76" s="48">
        <f t="shared" si="29"/>
        <v>10.914129032258064</v>
      </c>
      <c r="R76" s="49">
        <f t="shared" si="30"/>
        <v>4059</v>
      </c>
      <c r="S76" s="50">
        <f t="shared" si="31"/>
        <v>0</v>
      </c>
      <c r="T76" s="59">
        <v>97.4</v>
      </c>
      <c r="U76" s="48">
        <f t="shared" si="18"/>
        <v>10.630361677419355</v>
      </c>
      <c r="V76" s="51">
        <f t="shared" si="19"/>
        <v>8.8860159658064539</v>
      </c>
      <c r="W76" s="51">
        <f t="shared" si="34"/>
        <v>0.2430000000000001</v>
      </c>
      <c r="X76" s="60">
        <f t="shared" si="35"/>
        <v>2.5710424648987013E-2</v>
      </c>
      <c r="Y76" s="51">
        <f t="shared" si="36"/>
        <v>0.39410833109923338</v>
      </c>
      <c r="Z76" s="51">
        <f t="shared" si="20"/>
        <v>9.2801242969056865</v>
      </c>
      <c r="AB76" s="56">
        <f t="shared" si="32"/>
        <v>6.9999999999999993E-2</v>
      </c>
    </row>
    <row r="77" spans="1:32" ht="20.25" customHeight="1" x14ac:dyDescent="0.3">
      <c r="A77" s="22">
        <f t="shared" si="37"/>
        <v>72</v>
      </c>
      <c r="B77" s="11">
        <v>41784</v>
      </c>
      <c r="C77" s="57">
        <v>0.60277777777777775</v>
      </c>
      <c r="D77" s="13">
        <v>0.7</v>
      </c>
      <c r="E77" s="14">
        <v>0.01</v>
      </c>
      <c r="F77" s="23">
        <v>200</v>
      </c>
      <c r="G77" s="16">
        <v>5</v>
      </c>
      <c r="H77" s="24"/>
      <c r="I77" s="18">
        <v>1</v>
      </c>
      <c r="J77" s="18">
        <v>1</v>
      </c>
      <c r="K77" s="19">
        <v>0</v>
      </c>
      <c r="L77" s="14">
        <v>6</v>
      </c>
      <c r="M77" s="25" t="s">
        <v>78</v>
      </c>
      <c r="N77" s="26" t="s">
        <v>79</v>
      </c>
      <c r="O77" s="48">
        <f t="shared" si="33"/>
        <v>4.0000000025611371</v>
      </c>
      <c r="P77" s="51">
        <f t="shared" si="17"/>
        <v>48.799999999988358</v>
      </c>
      <c r="Q77" s="48">
        <f t="shared" si="29"/>
        <v>198.43870967741935</v>
      </c>
      <c r="R77" s="49">
        <f t="shared" si="30"/>
        <v>4059</v>
      </c>
      <c r="S77" s="50">
        <f t="shared" si="31"/>
        <v>0</v>
      </c>
      <c r="T77" s="59">
        <v>97.4</v>
      </c>
      <c r="U77" s="48">
        <f t="shared" si="18"/>
        <v>193.27930322580647</v>
      </c>
      <c r="V77" s="51">
        <f t="shared" si="19"/>
        <v>9.0792952690322597</v>
      </c>
      <c r="W77" s="51">
        <f t="shared" si="34"/>
        <v>0.24800000000000011</v>
      </c>
      <c r="X77" s="60">
        <f t="shared" si="35"/>
        <v>2.5995840332782249E-2</v>
      </c>
      <c r="Y77" s="51">
        <f t="shared" si="36"/>
        <v>0.23844617001016485</v>
      </c>
      <c r="Z77" s="51">
        <f t="shared" si="20"/>
        <v>9.3177414390424254</v>
      </c>
      <c r="AB77" s="56">
        <f t="shared" si="32"/>
        <v>1E-3</v>
      </c>
    </row>
    <row r="78" spans="1:32" ht="20.25" customHeight="1" x14ac:dyDescent="0.3">
      <c r="A78" s="22">
        <f t="shared" si="37"/>
        <v>73</v>
      </c>
      <c r="B78" s="11">
        <v>41785</v>
      </c>
      <c r="C78" s="57">
        <v>0.47013888888888888</v>
      </c>
      <c r="D78" s="13">
        <v>0.04</v>
      </c>
      <c r="E78" s="14">
        <v>0.04</v>
      </c>
      <c r="F78" s="23">
        <v>11</v>
      </c>
      <c r="G78" s="16">
        <v>0</v>
      </c>
      <c r="H78" s="24"/>
      <c r="I78" s="18">
        <v>1</v>
      </c>
      <c r="J78" s="18">
        <v>1</v>
      </c>
      <c r="K78" s="19">
        <v>0</v>
      </c>
      <c r="L78" s="14">
        <v>6</v>
      </c>
      <c r="M78" s="25" t="s">
        <v>80</v>
      </c>
      <c r="N78" s="26"/>
      <c r="O78" s="48">
        <f t="shared" si="33"/>
        <v>1248.9999999955762</v>
      </c>
      <c r="P78" s="51">
        <f t="shared" si="17"/>
        <v>69.616666666581295</v>
      </c>
      <c r="Q78" s="48">
        <f t="shared" si="29"/>
        <v>10.914129032258064</v>
      </c>
      <c r="R78" s="49">
        <f t="shared" si="30"/>
        <v>4059</v>
      </c>
      <c r="S78" s="50">
        <f t="shared" si="31"/>
        <v>0</v>
      </c>
      <c r="T78" s="59">
        <v>97.4</v>
      </c>
      <c r="U78" s="48">
        <f t="shared" si="18"/>
        <v>10.630361677419355</v>
      </c>
      <c r="V78" s="51">
        <f t="shared" si="19"/>
        <v>9.0899256307096792</v>
      </c>
      <c r="W78" s="51">
        <f t="shared" si="34"/>
        <v>0.24800000000000011</v>
      </c>
      <c r="X78" s="60">
        <f t="shared" si="35"/>
        <v>2.5983365323664225E-2</v>
      </c>
      <c r="Y78" s="51">
        <f t="shared" si="36"/>
        <v>0.24582399159523122</v>
      </c>
      <c r="Z78" s="51">
        <f t="shared" si="20"/>
        <v>9.3357496223049097</v>
      </c>
      <c r="AB78" s="56">
        <f t="shared" si="32"/>
        <v>4.0000000000000001E-3</v>
      </c>
    </row>
    <row r="79" spans="1:32" ht="20.25" customHeight="1" x14ac:dyDescent="0.3">
      <c r="A79" s="22">
        <f t="shared" si="37"/>
        <v>74</v>
      </c>
      <c r="B79" s="11">
        <v>41785</v>
      </c>
      <c r="C79" s="57">
        <v>0.47361111111111115</v>
      </c>
      <c r="D79" s="13">
        <v>0.04</v>
      </c>
      <c r="E79" s="14">
        <v>0.04</v>
      </c>
      <c r="F79" s="23">
        <v>200</v>
      </c>
      <c r="G79" s="16">
        <v>1</v>
      </c>
      <c r="H79" s="24"/>
      <c r="I79" s="18">
        <v>1</v>
      </c>
      <c r="J79" s="18">
        <v>1</v>
      </c>
      <c r="K79" s="19">
        <v>0</v>
      </c>
      <c r="L79" s="14">
        <v>6</v>
      </c>
      <c r="M79" s="25" t="s">
        <v>81</v>
      </c>
      <c r="N79" s="26" t="s">
        <v>82</v>
      </c>
      <c r="O79" s="48">
        <f t="shared" si="33"/>
        <v>5.0000000058207661</v>
      </c>
      <c r="P79" s="51">
        <f t="shared" si="17"/>
        <v>69.700000000011642</v>
      </c>
      <c r="Q79" s="48">
        <f t="shared" si="29"/>
        <v>198.43870967741935</v>
      </c>
      <c r="R79" s="49">
        <f t="shared" si="30"/>
        <v>4059</v>
      </c>
      <c r="S79" s="50">
        <f t="shared" si="31"/>
        <v>0</v>
      </c>
      <c r="T79" s="59">
        <v>97.4</v>
      </c>
      <c r="U79" s="48">
        <f t="shared" si="18"/>
        <v>193.27930322580647</v>
      </c>
      <c r="V79" s="51">
        <f t="shared" si="19"/>
        <v>9.283204933935485</v>
      </c>
      <c r="W79" s="51">
        <f t="shared" si="34"/>
        <v>0.24900000000000011</v>
      </c>
      <c r="X79" s="60">
        <f t="shared" si="35"/>
        <v>2.5983365323664225E-2</v>
      </c>
      <c r="Y79" s="51">
        <f t="shared" si="36"/>
        <v>0.24680280258064527</v>
      </c>
      <c r="Z79" s="51">
        <f t="shared" si="20"/>
        <v>9.5300077365161311</v>
      </c>
      <c r="AB79" s="56">
        <f t="shared" si="32"/>
        <v>4.0000000000000001E-3</v>
      </c>
      <c r="AD79" s="3">
        <v>7717.4186796665708</v>
      </c>
      <c r="AE79" s="3">
        <f>AD79*F79</f>
        <v>1543483.7359333141</v>
      </c>
      <c r="AF79" s="3">
        <f>F79</f>
        <v>200</v>
      </c>
    </row>
    <row r="80" spans="1:32" ht="20.25" customHeight="1" x14ac:dyDescent="0.3">
      <c r="A80" s="22">
        <f t="shared" si="37"/>
        <v>75</v>
      </c>
      <c r="B80" s="11"/>
      <c r="C80" s="57"/>
      <c r="D80" s="13"/>
      <c r="E80" s="14"/>
      <c r="F80" s="23"/>
      <c r="G80" s="16"/>
      <c r="H80" s="24"/>
      <c r="I80" s="18">
        <v>1</v>
      </c>
      <c r="J80" s="18">
        <v>1</v>
      </c>
      <c r="K80" s="19">
        <v>0</v>
      </c>
      <c r="L80" s="14">
        <v>6</v>
      </c>
      <c r="M80" s="25"/>
      <c r="N80" s="26"/>
      <c r="O80" s="48">
        <f t="shared" si="33"/>
        <v>-60171082</v>
      </c>
      <c r="P80" s="51">
        <f t="shared" si="17"/>
        <v>-1002781.6666666667</v>
      </c>
      <c r="Q80" s="48">
        <f t="shared" si="29"/>
        <v>0</v>
      </c>
      <c r="R80" s="49">
        <f t="shared" si="30"/>
        <v>4059</v>
      </c>
      <c r="S80" s="50">
        <f t="shared" si="31"/>
        <v>0</v>
      </c>
      <c r="T80" s="59">
        <v>97.4</v>
      </c>
      <c r="U80" s="48">
        <f t="shared" si="18"/>
        <v>0</v>
      </c>
      <c r="V80" s="51">
        <f t="shared" si="19"/>
        <v>9.283204933935485</v>
      </c>
      <c r="W80" s="51">
        <f t="shared" si="34"/>
        <v>0.24900000000000011</v>
      </c>
      <c r="X80" s="60">
        <f t="shared" si="35"/>
        <v>2.5999999999999999E-2</v>
      </c>
      <c r="Y80" s="51">
        <f t="shared" si="36"/>
        <v>0.23729453335588885</v>
      </c>
      <c r="Z80" s="51">
        <f t="shared" si="20"/>
        <v>9.5204994672913745</v>
      </c>
      <c r="AB80" s="56">
        <f t="shared" si="32"/>
        <v>0</v>
      </c>
    </row>
    <row r="81" spans="1:32" ht="20.25" customHeight="1" x14ac:dyDescent="0.3">
      <c r="A81" s="22">
        <f t="shared" si="37"/>
        <v>76</v>
      </c>
      <c r="B81" s="11"/>
      <c r="C81" s="57"/>
      <c r="D81" s="13"/>
      <c r="E81" s="14"/>
      <c r="F81" s="23"/>
      <c r="G81" s="16"/>
      <c r="H81" s="24"/>
      <c r="I81" s="18">
        <v>1</v>
      </c>
      <c r="J81" s="18">
        <v>1</v>
      </c>
      <c r="K81" s="19">
        <v>0</v>
      </c>
      <c r="L81" s="14">
        <v>6</v>
      </c>
      <c r="M81" s="25"/>
      <c r="N81" s="26"/>
      <c r="O81" s="48">
        <f t="shared" si="33"/>
        <v>0</v>
      </c>
      <c r="P81" s="51">
        <f t="shared" si="17"/>
        <v>-1002781.6666666667</v>
      </c>
      <c r="Q81" s="48">
        <f t="shared" si="29"/>
        <v>0</v>
      </c>
      <c r="R81" s="49">
        <f t="shared" si="30"/>
        <v>4059</v>
      </c>
      <c r="S81" s="50">
        <f t="shared" si="31"/>
        <v>0</v>
      </c>
      <c r="T81" s="59">
        <v>97.4</v>
      </c>
      <c r="U81" s="48">
        <f t="shared" si="18"/>
        <v>0</v>
      </c>
      <c r="V81" s="51">
        <f t="shared" si="19"/>
        <v>9.283204933935485</v>
      </c>
      <c r="W81" s="51">
        <f t="shared" si="34"/>
        <v>0.24900000000000011</v>
      </c>
      <c r="X81" s="60">
        <f t="shared" si="35"/>
        <v>2.5999999999999999E-2</v>
      </c>
      <c r="Y81" s="51">
        <f t="shared" si="36"/>
        <v>0.23731038709677435</v>
      </c>
      <c r="Z81" s="51">
        <f t="shared" si="20"/>
        <v>9.5205153210322599</v>
      </c>
      <c r="AB81" s="56">
        <f t="shared" si="32"/>
        <v>0</v>
      </c>
      <c r="AE81" s="3">
        <f>SUM(AE63:AE79)</f>
        <v>39926401.864921294</v>
      </c>
      <c r="AF81" s="3">
        <f>SUM(AF63:AF79)</f>
        <v>4060</v>
      </c>
    </row>
    <row r="82" spans="1:32" ht="20.25" customHeight="1" x14ac:dyDescent="0.3">
      <c r="A82" s="22">
        <f t="shared" si="37"/>
        <v>77</v>
      </c>
      <c r="B82" s="11"/>
      <c r="C82" s="57"/>
      <c r="D82" s="13"/>
      <c r="E82" s="14"/>
      <c r="F82" s="23"/>
      <c r="G82" s="16"/>
      <c r="H82" s="24"/>
      <c r="I82" s="18">
        <v>1</v>
      </c>
      <c r="J82" s="18">
        <v>1</v>
      </c>
      <c r="K82" s="19">
        <v>0</v>
      </c>
      <c r="L82" s="14">
        <v>6</v>
      </c>
      <c r="M82" s="25"/>
      <c r="N82" s="26"/>
      <c r="O82" s="48">
        <f t="shared" si="33"/>
        <v>0</v>
      </c>
      <c r="P82" s="51">
        <f t="shared" si="17"/>
        <v>-1002781.6666666667</v>
      </c>
      <c r="Q82" s="48">
        <f t="shared" si="29"/>
        <v>0</v>
      </c>
      <c r="R82" s="49">
        <f t="shared" si="30"/>
        <v>4059</v>
      </c>
      <c r="S82" s="50">
        <f t="shared" si="31"/>
        <v>0</v>
      </c>
      <c r="T82" s="59">
        <v>97.4</v>
      </c>
      <c r="U82" s="48">
        <f t="shared" si="18"/>
        <v>0</v>
      </c>
      <c r="V82" s="51">
        <f t="shared" si="19"/>
        <v>9.283204933935485</v>
      </c>
      <c r="W82" s="51">
        <f t="shared" si="34"/>
        <v>0.24900000000000011</v>
      </c>
      <c r="X82" s="60">
        <f t="shared" si="35"/>
        <v>2.5999999999999999E-2</v>
      </c>
      <c r="Y82" s="51">
        <f t="shared" si="36"/>
        <v>0.23731038709677435</v>
      </c>
      <c r="Z82" s="51">
        <f t="shared" si="20"/>
        <v>9.5205153210322599</v>
      </c>
      <c r="AB82" s="56">
        <f t="shared" si="32"/>
        <v>0</v>
      </c>
    </row>
    <row r="83" spans="1:32" ht="20.25" customHeight="1" x14ac:dyDescent="0.3">
      <c r="A83" s="22">
        <f t="shared" si="37"/>
        <v>78</v>
      </c>
      <c r="B83" s="11"/>
      <c r="C83" s="12"/>
      <c r="D83" s="13"/>
      <c r="E83" s="14"/>
      <c r="F83" s="23"/>
      <c r="G83" s="16"/>
      <c r="H83" s="24"/>
      <c r="I83" s="18">
        <v>1</v>
      </c>
      <c r="J83" s="18">
        <v>1</v>
      </c>
      <c r="K83" s="19">
        <v>0</v>
      </c>
      <c r="L83" s="14">
        <v>6</v>
      </c>
      <c r="M83" s="25"/>
      <c r="N83" s="26"/>
      <c r="O83" s="48">
        <f t="shared" si="33"/>
        <v>0</v>
      </c>
      <c r="P83" s="51">
        <f t="shared" si="17"/>
        <v>-1002781.6666666667</v>
      </c>
      <c r="Q83" s="48">
        <f t="shared" si="29"/>
        <v>0</v>
      </c>
      <c r="R83" s="49">
        <f t="shared" si="30"/>
        <v>4059</v>
      </c>
      <c r="S83" s="50">
        <f t="shared" si="31"/>
        <v>0</v>
      </c>
      <c r="T83" s="59">
        <v>97.4</v>
      </c>
      <c r="U83" s="48">
        <f t="shared" si="18"/>
        <v>0</v>
      </c>
      <c r="V83" s="51">
        <f t="shared" si="19"/>
        <v>9.283204933935485</v>
      </c>
      <c r="W83" s="51">
        <f t="shared" si="34"/>
        <v>0.24900000000000011</v>
      </c>
      <c r="X83" s="60">
        <f t="shared" si="35"/>
        <v>2.5999999999999999E-2</v>
      </c>
      <c r="Y83" s="51">
        <f t="shared" si="36"/>
        <v>0.23731038709677435</v>
      </c>
      <c r="Z83" s="51">
        <f t="shared" si="20"/>
        <v>9.5205153210322599</v>
      </c>
      <c r="AB83" s="56">
        <f t="shared" si="32"/>
        <v>0</v>
      </c>
    </row>
    <row r="84" spans="1:32" ht="20.25" customHeight="1" x14ac:dyDescent="0.3">
      <c r="A84" s="22">
        <f t="shared" si="37"/>
        <v>79</v>
      </c>
      <c r="B84" s="11"/>
      <c r="C84" s="12"/>
      <c r="D84" s="13"/>
      <c r="E84" s="14"/>
      <c r="F84" s="23"/>
      <c r="G84" s="16"/>
      <c r="H84" s="24"/>
      <c r="I84" s="18">
        <v>1</v>
      </c>
      <c r="J84" s="18">
        <v>1</v>
      </c>
      <c r="K84" s="19">
        <v>0</v>
      </c>
      <c r="L84" s="14">
        <v>6</v>
      </c>
      <c r="M84" s="25"/>
      <c r="N84" s="26"/>
      <c r="O84" s="48">
        <f t="shared" si="33"/>
        <v>0</v>
      </c>
      <c r="P84" s="51">
        <f t="shared" si="17"/>
        <v>-1002781.6666666667</v>
      </c>
      <c r="Q84" s="48">
        <f t="shared" si="29"/>
        <v>0</v>
      </c>
      <c r="R84" s="49">
        <f t="shared" si="30"/>
        <v>4059</v>
      </c>
      <c r="S84" s="50">
        <f t="shared" si="31"/>
        <v>0</v>
      </c>
      <c r="T84" s="59">
        <v>97.4</v>
      </c>
      <c r="U84" s="48">
        <f t="shared" si="18"/>
        <v>0</v>
      </c>
      <c r="V84" s="51">
        <f t="shared" si="19"/>
        <v>9.283204933935485</v>
      </c>
      <c r="W84" s="51">
        <f t="shared" si="34"/>
        <v>0.24900000000000011</v>
      </c>
      <c r="X84" s="60">
        <f t="shared" si="35"/>
        <v>2.5999999999999999E-2</v>
      </c>
      <c r="Y84" s="51">
        <f t="shared" si="36"/>
        <v>0.23731038709677435</v>
      </c>
      <c r="Z84" s="51">
        <f t="shared" si="20"/>
        <v>9.5205153210322599</v>
      </c>
      <c r="AB84" s="56">
        <f t="shared" si="32"/>
        <v>0</v>
      </c>
      <c r="AE84" s="3">
        <f>AE81/AF81</f>
        <v>9834.08912929096</v>
      </c>
    </row>
    <row r="85" spans="1:32" ht="20.25" customHeight="1" x14ac:dyDescent="0.3">
      <c r="A85" s="22">
        <f t="shared" si="37"/>
        <v>80</v>
      </c>
      <c r="B85" s="11"/>
      <c r="C85" s="12"/>
      <c r="D85" s="13"/>
      <c r="E85" s="14"/>
      <c r="F85" s="23"/>
      <c r="G85" s="16"/>
      <c r="H85" s="24"/>
      <c r="I85" s="18">
        <v>1</v>
      </c>
      <c r="J85" s="18">
        <v>1</v>
      </c>
      <c r="K85" s="19">
        <v>0</v>
      </c>
      <c r="L85" s="14">
        <v>6</v>
      </c>
      <c r="M85" s="25"/>
      <c r="N85" s="26"/>
      <c r="O85" s="48">
        <f t="shared" si="33"/>
        <v>0</v>
      </c>
      <c r="P85" s="51">
        <f t="shared" si="17"/>
        <v>-1002781.6666666667</v>
      </c>
      <c r="Q85" s="48">
        <f t="shared" si="29"/>
        <v>0</v>
      </c>
      <c r="R85" s="49">
        <f t="shared" si="30"/>
        <v>4059</v>
      </c>
      <c r="S85" s="50">
        <f t="shared" si="31"/>
        <v>0</v>
      </c>
      <c r="T85" s="59">
        <v>97.4</v>
      </c>
      <c r="U85" s="48">
        <f t="shared" si="18"/>
        <v>0</v>
      </c>
      <c r="V85" s="51">
        <f t="shared" si="19"/>
        <v>9.283204933935485</v>
      </c>
      <c r="W85" s="51">
        <f t="shared" si="34"/>
        <v>0.24900000000000011</v>
      </c>
      <c r="X85" s="60">
        <f t="shared" si="35"/>
        <v>2.5999999999999999E-2</v>
      </c>
      <c r="Y85" s="51">
        <f t="shared" si="36"/>
        <v>0.23731038709677435</v>
      </c>
      <c r="Z85" s="51">
        <f t="shared" si="20"/>
        <v>9.5205153210322599</v>
      </c>
      <c r="AB85" s="56">
        <f t="shared" si="32"/>
        <v>0</v>
      </c>
    </row>
    <row r="86" spans="1:32" ht="20.25" customHeight="1" x14ac:dyDescent="0.3">
      <c r="A86" s="22">
        <f t="shared" si="37"/>
        <v>81</v>
      </c>
      <c r="B86" s="11"/>
      <c r="C86" s="12"/>
      <c r="D86" s="13"/>
      <c r="E86" s="14"/>
      <c r="F86" s="23"/>
      <c r="G86" s="16"/>
      <c r="H86" s="24"/>
      <c r="I86" s="18">
        <v>1</v>
      </c>
      <c r="J86" s="18">
        <v>1</v>
      </c>
      <c r="K86" s="19">
        <v>0</v>
      </c>
      <c r="L86" s="14">
        <v>6</v>
      </c>
      <c r="M86" s="25"/>
      <c r="N86" s="26"/>
      <c r="O86" s="48">
        <f t="shared" si="33"/>
        <v>0</v>
      </c>
      <c r="P86" s="51">
        <f t="shared" si="17"/>
        <v>-1002781.6666666667</v>
      </c>
      <c r="Q86" s="48">
        <f t="shared" si="29"/>
        <v>0</v>
      </c>
      <c r="R86" s="49">
        <f t="shared" si="30"/>
        <v>4059</v>
      </c>
      <c r="S86" s="50">
        <f t="shared" si="31"/>
        <v>0</v>
      </c>
      <c r="T86" s="59">
        <v>97.4</v>
      </c>
      <c r="U86" s="48">
        <f t="shared" si="18"/>
        <v>0</v>
      </c>
      <c r="V86" s="51">
        <f t="shared" si="19"/>
        <v>9.283204933935485</v>
      </c>
      <c r="W86" s="51">
        <f t="shared" si="34"/>
        <v>0.24900000000000011</v>
      </c>
      <c r="X86" s="60">
        <f t="shared" si="35"/>
        <v>2.5999999999999999E-2</v>
      </c>
      <c r="Y86" s="51">
        <f t="shared" si="36"/>
        <v>0.23731038709677435</v>
      </c>
      <c r="Z86" s="51">
        <f t="shared" si="20"/>
        <v>9.5205153210322599</v>
      </c>
      <c r="AB86" s="56">
        <f t="shared" si="32"/>
        <v>0</v>
      </c>
    </row>
    <row r="87" spans="1:32" ht="20.25" customHeight="1" x14ac:dyDescent="0.3">
      <c r="A87" s="22">
        <f t="shared" si="37"/>
        <v>82</v>
      </c>
      <c r="B87" s="11"/>
      <c r="C87" s="12"/>
      <c r="D87" s="13"/>
      <c r="E87" s="14"/>
      <c r="F87" s="23"/>
      <c r="G87" s="16"/>
      <c r="H87" s="24"/>
      <c r="I87" s="18">
        <v>1</v>
      </c>
      <c r="J87" s="18">
        <v>1</v>
      </c>
      <c r="K87" s="19">
        <v>0</v>
      </c>
      <c r="L87" s="14">
        <v>6</v>
      </c>
      <c r="M87" s="25"/>
      <c r="N87" s="26"/>
      <c r="O87" s="48">
        <f t="shared" si="33"/>
        <v>0</v>
      </c>
      <c r="P87" s="51">
        <f t="shared" si="17"/>
        <v>-1002781.6666666667</v>
      </c>
      <c r="Q87" s="48">
        <f t="shared" si="29"/>
        <v>0</v>
      </c>
      <c r="R87" s="49">
        <f t="shared" si="30"/>
        <v>4059</v>
      </c>
      <c r="S87" s="50">
        <f t="shared" si="31"/>
        <v>0</v>
      </c>
      <c r="T87" s="59">
        <v>97.4</v>
      </c>
      <c r="U87" s="48">
        <f t="shared" si="18"/>
        <v>0</v>
      </c>
      <c r="V87" s="51">
        <f t="shared" si="19"/>
        <v>9.283204933935485</v>
      </c>
      <c r="W87" s="51">
        <f t="shared" si="34"/>
        <v>0.24900000000000011</v>
      </c>
      <c r="X87" s="60">
        <f t="shared" si="35"/>
        <v>2.5999999999999999E-2</v>
      </c>
      <c r="Y87" s="51">
        <f t="shared" si="36"/>
        <v>0.23731038709677435</v>
      </c>
      <c r="Z87" s="51">
        <f t="shared" si="20"/>
        <v>9.5205153210322599</v>
      </c>
      <c r="AB87" s="56">
        <f t="shared" si="32"/>
        <v>0</v>
      </c>
    </row>
    <row r="88" spans="1:32" ht="20.25" customHeight="1" x14ac:dyDescent="0.3">
      <c r="A88" s="22">
        <f t="shared" si="37"/>
        <v>83</v>
      </c>
      <c r="B88" s="11"/>
      <c r="C88" s="12"/>
      <c r="D88" s="13"/>
      <c r="E88" s="14"/>
      <c r="F88" s="23"/>
      <c r="G88" s="16"/>
      <c r="H88" s="24"/>
      <c r="I88" s="18">
        <v>1</v>
      </c>
      <c r="J88" s="18">
        <v>1</v>
      </c>
      <c r="K88" s="19">
        <v>0</v>
      </c>
      <c r="L88" s="14">
        <v>6</v>
      </c>
      <c r="M88" s="25"/>
      <c r="N88" s="26"/>
      <c r="O88" s="48">
        <f t="shared" si="33"/>
        <v>0</v>
      </c>
      <c r="P88" s="51">
        <f t="shared" si="17"/>
        <v>-1002781.6666666667</v>
      </c>
      <c r="Q88" s="48">
        <f t="shared" si="29"/>
        <v>0</v>
      </c>
      <c r="R88" s="49">
        <f t="shared" si="30"/>
        <v>4059</v>
      </c>
      <c r="S88" s="50">
        <f t="shared" si="31"/>
        <v>0</v>
      </c>
      <c r="T88" s="59">
        <v>97.4</v>
      </c>
      <c r="U88" s="48">
        <f t="shared" si="18"/>
        <v>0</v>
      </c>
      <c r="V88" s="51">
        <f t="shared" si="19"/>
        <v>9.283204933935485</v>
      </c>
      <c r="W88" s="51">
        <f t="shared" si="34"/>
        <v>0.24900000000000011</v>
      </c>
      <c r="X88" s="60">
        <f t="shared" si="35"/>
        <v>2.5999999999999999E-2</v>
      </c>
      <c r="Y88" s="51">
        <f t="shared" si="36"/>
        <v>0.23731038709677435</v>
      </c>
      <c r="Z88" s="51">
        <f t="shared" si="20"/>
        <v>9.5205153210322599</v>
      </c>
      <c r="AB88" s="56">
        <f t="shared" si="32"/>
        <v>0</v>
      </c>
    </row>
    <row r="89" spans="1:32" ht="20.25" customHeight="1" x14ac:dyDescent="0.3">
      <c r="A89" s="22">
        <f t="shared" si="37"/>
        <v>84</v>
      </c>
      <c r="B89" s="11"/>
      <c r="C89" s="12"/>
      <c r="D89" s="13"/>
      <c r="E89" s="14"/>
      <c r="F89" s="23"/>
      <c r="G89" s="16"/>
      <c r="H89" s="24"/>
      <c r="I89" s="18">
        <v>1</v>
      </c>
      <c r="J89" s="18">
        <v>1</v>
      </c>
      <c r="K89" s="19">
        <v>0</v>
      </c>
      <c r="L89" s="14">
        <v>6</v>
      </c>
      <c r="M89" s="25"/>
      <c r="N89" s="26"/>
      <c r="O89" s="48">
        <f t="shared" si="33"/>
        <v>0</v>
      </c>
      <c r="P89" s="51">
        <f t="shared" si="17"/>
        <v>-1002781.6666666667</v>
      </c>
      <c r="Q89" s="48">
        <f t="shared" si="29"/>
        <v>0</v>
      </c>
      <c r="R89" s="49">
        <f t="shared" si="30"/>
        <v>4059</v>
      </c>
      <c r="S89" s="50">
        <f t="shared" si="31"/>
        <v>0</v>
      </c>
      <c r="T89" s="59">
        <v>97.4</v>
      </c>
      <c r="U89" s="48">
        <f t="shared" si="18"/>
        <v>0</v>
      </c>
      <c r="V89" s="51">
        <f t="shared" si="19"/>
        <v>9.283204933935485</v>
      </c>
      <c r="W89" s="51">
        <f t="shared" si="34"/>
        <v>0.24900000000000011</v>
      </c>
      <c r="X89" s="60">
        <f t="shared" si="35"/>
        <v>2.5999999999999999E-2</v>
      </c>
      <c r="Y89" s="51">
        <f t="shared" si="36"/>
        <v>0.23731038709677435</v>
      </c>
      <c r="Z89" s="51">
        <f t="shared" si="20"/>
        <v>9.5205153210322599</v>
      </c>
      <c r="AB89" s="56">
        <f t="shared" si="32"/>
        <v>0</v>
      </c>
    </row>
    <row r="90" spans="1:32" ht="20.25" customHeight="1" x14ac:dyDescent="0.3">
      <c r="A90" s="22">
        <f t="shared" si="37"/>
        <v>85</v>
      </c>
      <c r="B90" s="11"/>
      <c r="C90" s="12"/>
      <c r="D90" s="13"/>
      <c r="E90" s="14"/>
      <c r="F90" s="23"/>
      <c r="G90" s="16"/>
      <c r="H90" s="24"/>
      <c r="I90" s="18">
        <v>1</v>
      </c>
      <c r="J90" s="18">
        <v>1</v>
      </c>
      <c r="K90" s="19">
        <v>0</v>
      </c>
      <c r="L90" s="14">
        <v>6</v>
      </c>
      <c r="M90" s="25"/>
      <c r="N90" s="26"/>
      <c r="O90" s="48">
        <f t="shared" si="33"/>
        <v>0</v>
      </c>
      <c r="P90" s="51">
        <f t="shared" si="17"/>
        <v>-1002781.6666666667</v>
      </c>
      <c r="Q90" s="48">
        <f t="shared" si="29"/>
        <v>0</v>
      </c>
      <c r="R90" s="49">
        <f t="shared" si="30"/>
        <v>4059</v>
      </c>
      <c r="S90" s="50">
        <f t="shared" si="31"/>
        <v>0</v>
      </c>
      <c r="T90" s="59">
        <v>97.4</v>
      </c>
      <c r="U90" s="48">
        <f t="shared" si="18"/>
        <v>0</v>
      </c>
      <c r="V90" s="51">
        <f t="shared" si="19"/>
        <v>9.283204933935485</v>
      </c>
      <c r="W90" s="51">
        <f t="shared" si="34"/>
        <v>0.24900000000000011</v>
      </c>
      <c r="X90" s="60">
        <f t="shared" si="35"/>
        <v>2.5999999999999999E-2</v>
      </c>
      <c r="Y90" s="51">
        <f t="shared" si="36"/>
        <v>0.23731038709677435</v>
      </c>
      <c r="Z90" s="51">
        <f t="shared" si="20"/>
        <v>9.5205153210322599</v>
      </c>
      <c r="AB90" s="56">
        <f t="shared" si="32"/>
        <v>0</v>
      </c>
    </row>
    <row r="91" spans="1:32" ht="20.25" customHeight="1" x14ac:dyDescent="0.3">
      <c r="A91" s="22">
        <f t="shared" si="37"/>
        <v>86</v>
      </c>
      <c r="B91" s="11"/>
      <c r="C91" s="12"/>
      <c r="D91" s="13"/>
      <c r="E91" s="14"/>
      <c r="F91" s="23"/>
      <c r="G91" s="16"/>
      <c r="H91" s="24"/>
      <c r="I91" s="18">
        <v>1</v>
      </c>
      <c r="J91" s="18">
        <v>1</v>
      </c>
      <c r="K91" s="19">
        <v>0</v>
      </c>
      <c r="L91" s="14">
        <v>6</v>
      </c>
      <c r="M91" s="25"/>
      <c r="N91" s="26"/>
      <c r="O91" s="48">
        <f t="shared" si="33"/>
        <v>0</v>
      </c>
      <c r="P91" s="51">
        <f t="shared" si="17"/>
        <v>-1002781.6666666667</v>
      </c>
      <c r="Q91" s="48">
        <f t="shared" si="29"/>
        <v>0</v>
      </c>
      <c r="R91" s="49">
        <f t="shared" si="30"/>
        <v>4059</v>
      </c>
      <c r="S91" s="50">
        <f t="shared" si="31"/>
        <v>0</v>
      </c>
      <c r="T91" s="59">
        <v>97.4</v>
      </c>
      <c r="U91" s="48">
        <f t="shared" si="18"/>
        <v>0</v>
      </c>
      <c r="V91" s="51">
        <f t="shared" si="19"/>
        <v>9.283204933935485</v>
      </c>
      <c r="W91" s="51">
        <f t="shared" si="34"/>
        <v>0.24900000000000011</v>
      </c>
      <c r="X91" s="60">
        <f t="shared" si="35"/>
        <v>2.5999999999999999E-2</v>
      </c>
      <c r="Y91" s="51">
        <f t="shared" si="36"/>
        <v>0.23731038709677435</v>
      </c>
      <c r="Z91" s="51">
        <f t="shared" si="20"/>
        <v>9.5205153210322599</v>
      </c>
      <c r="AB91" s="56">
        <f t="shared" si="32"/>
        <v>0</v>
      </c>
    </row>
    <row r="92" spans="1:32" ht="20.25" customHeight="1" x14ac:dyDescent="0.3">
      <c r="A92" s="22">
        <f t="shared" si="37"/>
        <v>87</v>
      </c>
      <c r="B92" s="11"/>
      <c r="C92" s="12"/>
      <c r="D92" s="13"/>
      <c r="E92" s="14"/>
      <c r="F92" s="23"/>
      <c r="G92" s="16"/>
      <c r="H92" s="24"/>
      <c r="I92" s="18">
        <v>1</v>
      </c>
      <c r="J92" s="18">
        <v>1</v>
      </c>
      <c r="K92" s="19">
        <v>0</v>
      </c>
      <c r="L92" s="14">
        <v>6</v>
      </c>
      <c r="M92" s="25"/>
      <c r="N92" s="26"/>
      <c r="O92" s="48">
        <f t="shared" si="33"/>
        <v>0</v>
      </c>
      <c r="P92" s="51">
        <f t="shared" si="17"/>
        <v>-1002781.6666666667</v>
      </c>
      <c r="Q92" s="48">
        <f t="shared" si="29"/>
        <v>0</v>
      </c>
      <c r="R92" s="49">
        <f t="shared" si="30"/>
        <v>4059</v>
      </c>
      <c r="S92" s="50">
        <f t="shared" si="31"/>
        <v>0</v>
      </c>
      <c r="T92" s="59">
        <v>97.4</v>
      </c>
      <c r="U92" s="48">
        <f t="shared" si="18"/>
        <v>0</v>
      </c>
      <c r="V92" s="51">
        <f t="shared" si="19"/>
        <v>9.283204933935485</v>
      </c>
      <c r="W92" s="51">
        <f t="shared" si="34"/>
        <v>0.24900000000000011</v>
      </c>
      <c r="X92" s="60">
        <f t="shared" si="35"/>
        <v>2.5999999999999999E-2</v>
      </c>
      <c r="Y92" s="51">
        <f t="shared" si="36"/>
        <v>0.23731038709677435</v>
      </c>
      <c r="Z92" s="51">
        <f t="shared" si="20"/>
        <v>9.5205153210322599</v>
      </c>
      <c r="AB92" s="56">
        <f t="shared" si="32"/>
        <v>0</v>
      </c>
    </row>
    <row r="93" spans="1:32" ht="20.25" customHeight="1" x14ac:dyDescent="0.3">
      <c r="A93" s="22">
        <f t="shared" si="37"/>
        <v>88</v>
      </c>
      <c r="B93" s="11"/>
      <c r="C93" s="12"/>
      <c r="D93" s="13"/>
      <c r="E93" s="14"/>
      <c r="F93" s="23"/>
      <c r="G93" s="16"/>
      <c r="H93" s="24"/>
      <c r="I93" s="18">
        <v>1</v>
      </c>
      <c r="J93" s="18">
        <v>1</v>
      </c>
      <c r="K93" s="19">
        <v>0</v>
      </c>
      <c r="L93" s="14">
        <v>6</v>
      </c>
      <c r="M93" s="25"/>
      <c r="N93" s="26"/>
      <c r="O93" s="48">
        <f t="shared" si="33"/>
        <v>0</v>
      </c>
      <c r="P93" s="51">
        <f>P92+O93/60</f>
        <v>-1002781.6666666667</v>
      </c>
      <c r="Q93" s="48">
        <f t="shared" si="29"/>
        <v>0</v>
      </c>
      <c r="R93" s="49">
        <f t="shared" si="30"/>
        <v>4059</v>
      </c>
      <c r="S93" s="50">
        <f t="shared" si="31"/>
        <v>0</v>
      </c>
      <c r="T93" s="59">
        <v>97.4</v>
      </c>
      <c r="U93" s="48">
        <f>(S93+Q93)*T93/100</f>
        <v>0</v>
      </c>
      <c r="V93" s="51">
        <f>V92+U93/1000</f>
        <v>9.283204933935485</v>
      </c>
      <c r="W93" s="51">
        <f t="shared" si="34"/>
        <v>0.24900000000000011</v>
      </c>
      <c r="X93" s="60">
        <f t="shared" si="35"/>
        <v>2.5999999999999999E-2</v>
      </c>
      <c r="Y93" s="51">
        <f t="shared" si="36"/>
        <v>0.23731038709677435</v>
      </c>
      <c r="Z93" s="51">
        <f>V93+Y93</f>
        <v>9.5205153210322599</v>
      </c>
      <c r="AB93" s="56">
        <f t="shared" si="32"/>
        <v>0</v>
      </c>
    </row>
    <row r="94" spans="1:32" ht="20.25" customHeight="1" x14ac:dyDescent="0.3">
      <c r="A94" s="22">
        <f t="shared" si="37"/>
        <v>89</v>
      </c>
      <c r="B94" s="11"/>
      <c r="C94" s="12"/>
      <c r="D94" s="13"/>
      <c r="E94" s="14"/>
      <c r="F94" s="23"/>
      <c r="G94" s="16"/>
      <c r="H94" s="24"/>
      <c r="I94" s="18">
        <v>1</v>
      </c>
      <c r="J94" s="18">
        <v>1</v>
      </c>
      <c r="K94" s="19">
        <v>0</v>
      </c>
      <c r="L94" s="14">
        <v>6</v>
      </c>
      <c r="M94" s="25"/>
      <c r="N94" s="26"/>
      <c r="O94" s="48">
        <f t="shared" si="33"/>
        <v>0</v>
      </c>
      <c r="P94" s="51">
        <f>P93+O94/60</f>
        <v>-1002781.6666666667</v>
      </c>
      <c r="Q94" s="48">
        <f t="shared" si="29"/>
        <v>0</v>
      </c>
      <c r="R94" s="49">
        <f t="shared" si="30"/>
        <v>4059</v>
      </c>
      <c r="S94" s="50">
        <f t="shared" si="31"/>
        <v>0</v>
      </c>
      <c r="T94" s="59">
        <v>97.4</v>
      </c>
      <c r="U94" s="48">
        <f>(S94+Q94)*T94/100</f>
        <v>0</v>
      </c>
      <c r="V94" s="51">
        <f>V93+U94/1000</f>
        <v>9.283204933935485</v>
      </c>
      <c r="W94" s="51">
        <f t="shared" si="34"/>
        <v>0.24900000000000011</v>
      </c>
      <c r="X94" s="60">
        <f t="shared" si="35"/>
        <v>2.5999999999999999E-2</v>
      </c>
      <c r="Y94" s="51">
        <f t="shared" si="36"/>
        <v>0.23731038709677435</v>
      </c>
      <c r="Z94" s="51">
        <f>V94+Y94</f>
        <v>9.5205153210322599</v>
      </c>
      <c r="AB94" s="56">
        <f t="shared" si="32"/>
        <v>0</v>
      </c>
    </row>
    <row r="95" spans="1:32" ht="20.25" customHeight="1" x14ac:dyDescent="0.3">
      <c r="A95" s="22">
        <f t="shared" si="37"/>
        <v>90</v>
      </c>
      <c r="B95" s="11"/>
      <c r="C95" s="12"/>
      <c r="D95" s="13"/>
      <c r="E95" s="14"/>
      <c r="F95" s="23"/>
      <c r="G95" s="16"/>
      <c r="H95" s="24"/>
      <c r="I95" s="18">
        <v>1</v>
      </c>
      <c r="J95" s="18">
        <v>1</v>
      </c>
      <c r="K95" s="19">
        <v>0</v>
      </c>
      <c r="L95" s="14">
        <v>6</v>
      </c>
      <c r="M95" s="25"/>
      <c r="N95" s="26"/>
      <c r="O95" s="48">
        <f t="shared" si="33"/>
        <v>0</v>
      </c>
      <c r="P95" s="51">
        <f>P94+O95/60</f>
        <v>-1002781.6666666667</v>
      </c>
      <c r="Q95" s="48">
        <f t="shared" si="29"/>
        <v>0</v>
      </c>
      <c r="R95" s="49">
        <f t="shared" si="30"/>
        <v>4059</v>
      </c>
      <c r="S95" s="50">
        <f t="shared" si="31"/>
        <v>0</v>
      </c>
      <c r="T95" s="59">
        <v>97.4</v>
      </c>
      <c r="U95" s="48">
        <f>(S95+Q95)*T95/100</f>
        <v>0</v>
      </c>
      <c r="V95" s="51">
        <f>V94+U95/1000</f>
        <v>9.283204933935485</v>
      </c>
      <c r="W95" s="51">
        <f t="shared" si="34"/>
        <v>0.24900000000000011</v>
      </c>
      <c r="X95" s="60">
        <f t="shared" si="35"/>
        <v>2.5999999999999999E-2</v>
      </c>
      <c r="Y95" s="51">
        <f t="shared" si="36"/>
        <v>0.23731038709677435</v>
      </c>
      <c r="Z95" s="51">
        <f>V95+Y95</f>
        <v>9.5205153210322599</v>
      </c>
      <c r="AB95" s="56">
        <f t="shared" si="32"/>
        <v>0</v>
      </c>
    </row>
    <row r="96" spans="1:32" ht="20.25" customHeight="1" x14ac:dyDescent="0.3">
      <c r="A96" s="22">
        <f t="shared" si="37"/>
        <v>91</v>
      </c>
      <c r="B96" s="11"/>
      <c r="C96" s="12"/>
      <c r="D96" s="13"/>
      <c r="E96" s="14"/>
      <c r="F96" s="23"/>
      <c r="G96" s="16"/>
      <c r="H96" s="24"/>
      <c r="I96" s="18">
        <v>1</v>
      </c>
      <c r="J96" s="18">
        <v>1</v>
      </c>
      <c r="K96" s="19">
        <v>0</v>
      </c>
      <c r="L96" s="14">
        <v>6</v>
      </c>
      <c r="M96" s="25"/>
      <c r="N96" s="26"/>
      <c r="O96" s="48">
        <f t="shared" si="33"/>
        <v>0</v>
      </c>
      <c r="P96" s="51">
        <f>P95+O96/60</f>
        <v>-1002781.6666666667</v>
      </c>
      <c r="Q96" s="48">
        <f t="shared" si="29"/>
        <v>0</v>
      </c>
      <c r="R96" s="49">
        <f t="shared" si="30"/>
        <v>4059</v>
      </c>
      <c r="S96" s="50">
        <f t="shared" si="31"/>
        <v>0</v>
      </c>
      <c r="T96" s="59">
        <v>97.4</v>
      </c>
      <c r="U96" s="48">
        <f>(S96+Q96)*T96/100</f>
        <v>0</v>
      </c>
      <c r="V96" s="51">
        <f>V95+U96/1000</f>
        <v>9.283204933935485</v>
      </c>
      <c r="W96" s="51">
        <f t="shared" si="34"/>
        <v>0.24900000000000011</v>
      </c>
      <c r="X96" s="60">
        <f t="shared" si="35"/>
        <v>2.5999999999999999E-2</v>
      </c>
      <c r="Y96" s="51">
        <f t="shared" si="36"/>
        <v>0.23731038709677435</v>
      </c>
      <c r="Z96" s="51">
        <f>V96+Y96</f>
        <v>9.5205153210322599</v>
      </c>
      <c r="AB96" s="56">
        <f t="shared" si="32"/>
        <v>0</v>
      </c>
    </row>
    <row r="97" spans="14:14" x14ac:dyDescent="0.3">
      <c r="N97" s="61"/>
    </row>
  </sheetData>
  <mergeCells count="22">
    <mergeCell ref="B4:B5"/>
    <mergeCell ref="F4:G4"/>
    <mergeCell ref="D4:E4"/>
    <mergeCell ref="A3:N3"/>
    <mergeCell ref="A4:A5"/>
    <mergeCell ref="C4:C5"/>
    <mergeCell ref="I4:L4"/>
    <mergeCell ref="M4:M5"/>
    <mergeCell ref="N4:N5"/>
    <mergeCell ref="A2:E2"/>
    <mergeCell ref="F2:H2"/>
    <mergeCell ref="I2:K2"/>
    <mergeCell ref="L2:M2"/>
    <mergeCell ref="A1:E1"/>
    <mergeCell ref="F1:H1"/>
    <mergeCell ref="I1:K1"/>
    <mergeCell ref="L1:N1"/>
    <mergeCell ref="W4:Y4"/>
    <mergeCell ref="U4:V4"/>
    <mergeCell ref="O4:P4"/>
    <mergeCell ref="Q3:S3"/>
    <mergeCell ref="R4:S4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8" workbookViewId="0">
      <selection activeCell="R22" sqref="R22"/>
    </sheetView>
  </sheetViews>
  <sheetFormatPr defaultColWidth="8.765625" defaultRowHeight="13.5" x14ac:dyDescent="0.3"/>
  <sheetData>
    <row r="1" spans="1:14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x14ac:dyDescent="0.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x14ac:dyDescent="0.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x14ac:dyDescent="0.3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x14ac:dyDescent="0.3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4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x14ac:dyDescent="0.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x14ac:dyDescent="0.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x14ac:dyDescent="0.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workbookViewId="0">
      <selection activeCell="Q22" sqref="Q22"/>
    </sheetView>
  </sheetViews>
  <sheetFormatPr defaultColWidth="8.765625" defaultRowHeight="13.5" x14ac:dyDescent="0.3"/>
  <sheetData>
    <row r="1" spans="1:14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x14ac:dyDescent="0.3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x14ac:dyDescent="0.3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4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x14ac:dyDescent="0.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</row>
    <row r="13" spans="1:14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x14ac:dyDescent="0.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1:14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4" x14ac:dyDescent="0.3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4" x14ac:dyDescent="0.3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4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1:14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4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4" x14ac:dyDescent="0.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1:14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1:14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1:14" x14ac:dyDescent="0.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x14ac:dyDescent="0.3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x14ac:dyDescent="0.3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0" sqref="R10:R11"/>
    </sheetView>
  </sheetViews>
  <sheetFormatPr defaultColWidth="8.765625" defaultRowHeight="13.5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UT-GOM2-1-H005-6FB-2 21.5-41.5</vt:lpstr>
      <vt:lpstr>graph-sampling</vt:lpstr>
      <vt:lpstr>graph-sampling (2)</vt:lpstr>
      <vt:lpstr>graph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Phillips, Stephen C</cp:lastModifiedBy>
  <cp:lastPrinted>2017-05-08T14:45:57Z</cp:lastPrinted>
  <dcterms:created xsi:type="dcterms:W3CDTF">2012-06-25T14:59:26Z</dcterms:created>
  <dcterms:modified xsi:type="dcterms:W3CDTF">2019-03-14T22:25:33Z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