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date1904="1" showInkAnnotation="0" codeName="ThisWorkbook" autoCompressPictures="0"/>
  <bookViews>
    <workbookView xWindow="13780" yWindow="5680" windowWidth="30940" windowHeight="20100" tabRatio="623" activeTab="2"/>
  </bookViews>
  <sheets>
    <sheet name="UT-GOM2-1-H005-4FB-5" sheetId="27" r:id="rId1"/>
    <sheet name="UT-GOM2-1-H005-4FB-5 table" sheetId="30" r:id="rId2"/>
    <sheet name="graph" sheetId="31" r:id="rId3"/>
  </sheets>
  <definedNames>
    <definedName name="_xlnm.Print_Area" localSheetId="0">'UT-GOM2-1-H005-4FB-5'!#REF!</definedName>
    <definedName name="_xlnm.Print_Area" localSheetId="1">'UT-GOM2-1-H005-4FB-5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9" i="27" l="1"/>
  <c r="T30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O28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P28" i="27"/>
  <c r="Q28" i="27"/>
  <c r="N2" i="27"/>
  <c r="R28" i="27"/>
  <c r="S28" i="27"/>
  <c r="U28" i="27"/>
  <c r="S6" i="27"/>
  <c r="Q6" i="27"/>
  <c r="U6" i="27"/>
  <c r="V6" i="27"/>
  <c r="S7" i="27"/>
  <c r="Q7" i="27"/>
  <c r="U7" i="27"/>
  <c r="V7" i="27"/>
  <c r="S8" i="27"/>
  <c r="Q8" i="27"/>
  <c r="U8" i="27"/>
  <c r="V8" i="27"/>
  <c r="S9" i="27"/>
  <c r="Q9" i="27"/>
  <c r="U9" i="27"/>
  <c r="V9" i="27"/>
  <c r="S10" i="27"/>
  <c r="Q10" i="27"/>
  <c r="U10" i="27"/>
  <c r="V10" i="27"/>
  <c r="S11" i="27"/>
  <c r="Q11" i="27"/>
  <c r="U11" i="27"/>
  <c r="V11" i="27"/>
  <c r="S12" i="27"/>
  <c r="Q12" i="27"/>
  <c r="U12" i="27"/>
  <c r="V12" i="27"/>
  <c r="S13" i="27"/>
  <c r="Q13" i="27"/>
  <c r="U13" i="27"/>
  <c r="V13" i="27"/>
  <c r="S14" i="27"/>
  <c r="Q14" i="27"/>
  <c r="U14" i="27"/>
  <c r="V14" i="27"/>
  <c r="S15" i="27"/>
  <c r="Q15" i="27"/>
  <c r="U15" i="27"/>
  <c r="V15" i="27"/>
  <c r="S16" i="27"/>
  <c r="Q16" i="27"/>
  <c r="U16" i="27"/>
  <c r="V16" i="27"/>
  <c r="S17" i="27"/>
  <c r="Q17" i="27"/>
  <c r="U17" i="27"/>
  <c r="V17" i="27"/>
  <c r="S18" i="27"/>
  <c r="Q18" i="27"/>
  <c r="U18" i="27"/>
  <c r="V18" i="27"/>
  <c r="S19" i="27"/>
  <c r="Q19" i="27"/>
  <c r="U19" i="27"/>
  <c r="V19" i="27"/>
  <c r="S20" i="27"/>
  <c r="Q20" i="27"/>
  <c r="U20" i="27"/>
  <c r="V20" i="27"/>
  <c r="S21" i="27"/>
  <c r="Q21" i="27"/>
  <c r="U21" i="27"/>
  <c r="V21" i="27"/>
  <c r="S22" i="27"/>
  <c r="Q22" i="27"/>
  <c r="U22" i="27"/>
  <c r="V22" i="27"/>
  <c r="S23" i="27"/>
  <c r="Q23" i="27"/>
  <c r="U23" i="27"/>
  <c r="V23" i="27"/>
  <c r="S24" i="27"/>
  <c r="Q24" i="27"/>
  <c r="U24" i="27"/>
  <c r="V24" i="27"/>
  <c r="S25" i="27"/>
  <c r="Q25" i="27"/>
  <c r="U25" i="27"/>
  <c r="V25" i="27"/>
  <c r="S26" i="27"/>
  <c r="Q26" i="27"/>
  <c r="U26" i="27"/>
  <c r="V26" i="27"/>
  <c r="S27" i="27"/>
  <c r="Q27" i="27"/>
  <c r="U27" i="27"/>
  <c r="V27" i="27"/>
  <c r="V28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X2" i="27"/>
  <c r="X28" i="27"/>
  <c r="X27" i="27"/>
  <c r="Y28" i="27"/>
  <c r="Z28" i="27"/>
  <c r="AB28" i="27"/>
  <c r="O29" i="27"/>
  <c r="P29" i="27"/>
  <c r="Q29" i="27"/>
  <c r="R29" i="27"/>
  <c r="S29" i="27"/>
  <c r="U29" i="27"/>
  <c r="V29" i="27"/>
  <c r="W29" i="27"/>
  <c r="X29" i="27"/>
  <c r="Y29" i="27"/>
  <c r="Z29" i="27"/>
  <c r="AB29" i="27"/>
  <c r="O30" i="27"/>
  <c r="P30" i="27"/>
  <c r="Q30" i="27"/>
  <c r="R30" i="27"/>
  <c r="S30" i="27"/>
  <c r="U30" i="27"/>
  <c r="V30" i="27"/>
  <c r="W30" i="27"/>
  <c r="X30" i="27"/>
  <c r="Y30" i="27"/>
  <c r="Z30" i="27"/>
  <c r="AB30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X7" i="27"/>
  <c r="X8" i="27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19" i="27"/>
  <c r="Y19" i="27"/>
  <c r="X20" i="27"/>
  <c r="Y20" i="27"/>
  <c r="X21" i="27"/>
  <c r="Y21" i="27"/>
  <c r="X22" i="27"/>
  <c r="Y22" i="27"/>
  <c r="X23" i="27"/>
  <c r="Y23" i="27"/>
  <c r="X24" i="27"/>
  <c r="Y24" i="27"/>
  <c r="X25" i="27"/>
  <c r="Y25" i="27"/>
  <c r="X26" i="27"/>
  <c r="Y26" i="27"/>
  <c r="Y27" i="27"/>
  <c r="Y7" i="27"/>
  <c r="Y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6" i="27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Z21" i="27"/>
  <c r="Z22" i="27"/>
  <c r="Z23" i="27"/>
  <c r="Z24" i="27"/>
  <c r="Z25" i="27"/>
  <c r="Z26" i="27"/>
  <c r="Z27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6" i="27"/>
  <c r="A1" i="30"/>
  <c r="G25" i="30"/>
  <c r="E14" i="30"/>
  <c r="B5" i="30"/>
  <c r="C6" i="30"/>
  <c r="E11" i="30"/>
  <c r="B15" i="30"/>
  <c r="G8" i="30"/>
  <c r="F14" i="30"/>
  <c r="B16" i="30"/>
  <c r="I20" i="30"/>
  <c r="E16" i="30"/>
  <c r="C25" i="30"/>
  <c r="B22" i="30"/>
  <c r="A23" i="30"/>
  <c r="A21" i="30"/>
  <c r="F16" i="30"/>
  <c r="C17" i="30"/>
  <c r="E20" i="30"/>
  <c r="E28" i="30"/>
  <c r="G15" i="30"/>
  <c r="C15" i="30"/>
  <c r="G13" i="30"/>
  <c r="G16" i="30"/>
  <c r="C16" i="30"/>
  <c r="I22" i="30"/>
  <c r="F25" i="30"/>
  <c r="C11" i="30"/>
  <c r="I15" i="30"/>
  <c r="A25" i="30"/>
  <c r="G23" i="30"/>
  <c r="E21" i="30"/>
  <c r="G21" i="30"/>
  <c r="E8" i="30"/>
  <c r="F12" i="30"/>
  <c r="B8" i="30"/>
  <c r="G18" i="30"/>
  <c r="F27" i="30"/>
  <c r="E24" i="30"/>
  <c r="E25" i="30"/>
  <c r="G11" i="30"/>
  <c r="A26" i="30"/>
  <c r="C27" i="30"/>
  <c r="E27" i="30"/>
  <c r="A12" i="30"/>
  <c r="E9" i="30"/>
  <c r="I19" i="30"/>
  <c r="B23" i="30"/>
  <c r="A28" i="30"/>
  <c r="I28" i="30"/>
  <c r="B7" i="30"/>
  <c r="G4" i="30"/>
  <c r="I11" i="30"/>
  <c r="I23" i="30"/>
  <c r="B11" i="30"/>
  <c r="E4" i="30"/>
  <c r="F6" i="30"/>
  <c r="F15" i="30"/>
  <c r="D4" i="30"/>
  <c r="G27" i="30"/>
  <c r="E12" i="30"/>
  <c r="E26" i="30"/>
  <c r="G19" i="30"/>
  <c r="B24" i="30"/>
  <c r="B17" i="30"/>
  <c r="A17" i="30"/>
  <c r="A4" i="30"/>
  <c r="F22" i="30"/>
  <c r="I5" i="30"/>
  <c r="G14" i="30"/>
  <c r="G22" i="30"/>
  <c r="B19" i="30"/>
  <c r="F28" i="30"/>
  <c r="G24" i="30"/>
  <c r="C26" i="30"/>
  <c r="F23" i="30"/>
  <c r="I6" i="30"/>
  <c r="B14" i="30"/>
  <c r="B21" i="30"/>
  <c r="B9" i="30"/>
  <c r="A9" i="30"/>
  <c r="C10" i="30"/>
  <c r="B10" i="30"/>
  <c r="F7" i="30"/>
  <c r="I13" i="30"/>
  <c r="G9" i="30"/>
  <c r="I16" i="30"/>
  <c r="A11" i="30"/>
  <c r="F20" i="30"/>
  <c r="B13" i="30"/>
  <c r="B26" i="30"/>
  <c r="I17" i="30"/>
  <c r="A8" i="30"/>
  <c r="B18" i="30"/>
  <c r="C9" i="30"/>
  <c r="F24" i="30"/>
  <c r="F5" i="30"/>
  <c r="G28" i="30"/>
  <c r="E7" i="30"/>
  <c r="A14" i="30"/>
  <c r="C13" i="30"/>
  <c r="B6" i="30"/>
  <c r="F10" i="30"/>
  <c r="F13" i="30"/>
  <c r="C14" i="30"/>
  <c r="E13" i="30"/>
  <c r="A5" i="30"/>
  <c r="C7" i="30"/>
  <c r="I25" i="30"/>
  <c r="F11" i="30"/>
  <c r="C8" i="30"/>
  <c r="A15" i="30"/>
  <c r="A20" i="30"/>
  <c r="G20" i="30"/>
  <c r="F8" i="30"/>
  <c r="C20" i="30"/>
  <c r="E19" i="30"/>
  <c r="B27" i="30"/>
  <c r="A18" i="30"/>
  <c r="B28" i="30"/>
  <c r="C12" i="30"/>
  <c r="B12" i="30"/>
  <c r="F21" i="30"/>
  <c r="C23" i="30"/>
  <c r="I9" i="30"/>
  <c r="A13" i="30"/>
  <c r="E23" i="30"/>
  <c r="A16" i="30"/>
  <c r="F18" i="30"/>
  <c r="I26" i="30"/>
  <c r="F4" i="30"/>
  <c r="C24" i="30"/>
  <c r="I10" i="30"/>
  <c r="G12" i="30"/>
  <c r="I21" i="30"/>
  <c r="C4" i="30"/>
  <c r="B4" i="30"/>
  <c r="G5" i="30"/>
  <c r="C5" i="30"/>
  <c r="I27" i="30"/>
  <c r="A6" i="30"/>
  <c r="A24" i="30"/>
  <c r="I24" i="30"/>
  <c r="I4" i="30"/>
  <c r="I14" i="30"/>
  <c r="F9" i="30"/>
  <c r="C22" i="30"/>
  <c r="C21" i="30"/>
  <c r="F26" i="30"/>
  <c r="G26" i="30"/>
  <c r="C18" i="30"/>
  <c r="I18" i="30"/>
  <c r="F17" i="30"/>
  <c r="A27" i="30"/>
  <c r="E22" i="30"/>
  <c r="G17" i="30"/>
  <c r="I12" i="30"/>
  <c r="G6" i="30"/>
  <c r="G10" i="30"/>
  <c r="C28" i="30"/>
  <c r="B25" i="30"/>
  <c r="A10" i="30"/>
  <c r="F19" i="30"/>
  <c r="E15" i="30"/>
  <c r="G7" i="30"/>
  <c r="A7" i="30"/>
  <c r="E17" i="30"/>
  <c r="E10" i="30"/>
  <c r="I8" i="30"/>
  <c r="E6" i="30"/>
  <c r="I7" i="30"/>
  <c r="C19" i="30"/>
  <c r="A22" i="30"/>
  <c r="B20" i="30"/>
  <c r="A19" i="30"/>
  <c r="E18" i="30"/>
  <c r="E5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H4" i="30"/>
  <c r="D27" i="30"/>
  <c r="H5" i="30"/>
  <c r="D28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8" i="30"/>
  <c r="H25" i="30"/>
  <c r="H27" i="30"/>
  <c r="H26" i="30"/>
</calcChain>
</file>

<file path=xl/sharedStrings.xml><?xml version="1.0" encoding="utf-8"?>
<sst xmlns="http://schemas.openxmlformats.org/spreadsheetml/2006/main" count="78" uniqueCount="64">
  <si>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</si>
  <si>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</si>
  <si>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</si>
  <si>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</si>
  <si>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</si>
  <si>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</si>
  <si>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</si>
  <si>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</si>
  <si>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</si>
  <si>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</si>
  <si>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</si>
  <si>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</si>
  <si>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</si>
  <si>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</si>
  <si>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</si>
  <si>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</si>
  <si>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</si>
  <si>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</si>
  <si>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</si>
  <si>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</si>
  <si>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</si>
  <si>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</si>
  <si>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</si>
  <si>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</si>
  <si>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</si>
  <si>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</si>
  <si>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</si>
  <si>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</si>
  <si>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</si>
  <si>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</si>
  <si>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</si>
  <si>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</si>
  <si>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</si>
  <si>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</si>
  <si>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</si>
  <si>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</si>
  <si>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</si>
  <si>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</si>
  <si>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</si>
  <si>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</si>
  <si>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</si>
  <si>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</si>
  <si>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</si>
  <si>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</si>
  <si>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</si>
  <si>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</si>
  <si>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</si>
  <si>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</si>
  <si>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</si>
  <si>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</si>
  <si>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START</t>
  </si>
  <si>
    <t>UT-GOM2-1-H005-4FB-5</t>
  </si>
  <si>
    <t>7Y</t>
  </si>
  <si>
    <t>Cu tube 25</t>
  </si>
  <si>
    <t>8Y</t>
  </si>
  <si>
    <t>9Y</t>
  </si>
  <si>
    <t>10Y</t>
  </si>
  <si>
    <t>Cu tube 26</t>
  </si>
  <si>
    <t>11Y</t>
  </si>
  <si>
    <t>Cu tube 27</t>
  </si>
  <si>
    <t>total vol = ????</t>
  </si>
  <si>
    <t>UT-GOM2-1-H005-4FB-5 / 035-028</t>
  </si>
  <si>
    <t>Yellow</t>
  </si>
  <si>
    <t>that's a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</si>
</sst>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"/>
  </numFmts>
  <fonts count="19" x14ac:knownFonts="1">
    <font>
      <sz val="10"/>
      <name val="Verdana"/>
    </font>
    <font>
      <b/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  <font>
      <b/>
      <sz val="10"/>
      <color theme="9" tint="-0.499984740745262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DE2C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1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8" fillId="0" borderId="0" xfId="2" applyFont="1"/>
    <xf numFmtId="2" fontId="9" fillId="0" borderId="0" xfId="2" applyNumberFormat="1" applyFont="1" applyBorder="1" applyAlignment="1">
      <alignment vertical="center"/>
    </xf>
    <xf numFmtId="0" fontId="8" fillId="0" borderId="0" xfId="2" applyFont="1" applyBorder="1"/>
    <xf numFmtId="0" fontId="10" fillId="2" borderId="1" xfId="2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/>
    </xf>
    <xf numFmtId="165" fontId="8" fillId="0" borderId="3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center"/>
    </xf>
    <xf numFmtId="9" fontId="8" fillId="0" borderId="3" xfId="3" applyFont="1" applyBorder="1" applyAlignment="1">
      <alignment horizontal="center"/>
    </xf>
    <xf numFmtId="0" fontId="8" fillId="0" borderId="0" xfId="2" applyFont="1" applyAlignment="1">
      <alignment horizontal="center"/>
    </xf>
    <xf numFmtId="2" fontId="11" fillId="0" borderId="0" xfId="2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164" fontId="1" fillId="0" borderId="16" xfId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164" fontId="1" fillId="0" borderId="15" xfId="1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1" fontId="13" fillId="0" borderId="0" xfId="0" applyNumberFormat="1" applyFont="1" applyFill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wrapText="1"/>
    </xf>
    <xf numFmtId="164" fontId="1" fillId="0" borderId="17" xfId="1" applyNumberFormat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/>
    </xf>
    <xf numFmtId="164" fontId="1" fillId="0" borderId="21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wrapText="1"/>
    </xf>
    <xf numFmtId="166" fontId="14" fillId="0" borderId="0" xfId="0" applyNumberFormat="1" applyFont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2" fontId="7" fillId="0" borderId="0" xfId="2" applyNumberFormat="1" applyFont="1" applyBorder="1" applyAlignment="1">
      <alignment horizontal="center" vertical="center"/>
    </xf>
  </cellXfs>
  <cellStyles count="6">
    <cellStyle name="Comma" xfId="1" builtinId="3"/>
    <cellStyle name="Followed Hyperlink" xfId="5" builtinId="9" hidden="1"/>
    <cellStyle name="Hyperlink" xfId="4" builtinId="8" hidden="1"/>
    <cellStyle name="Normal" xfId="0" builtinId="0"/>
    <cellStyle name="Normal 2" xfId="2"/>
    <cellStyle name="Percent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'UT-GOM2-1-H005-4FB-5'!$Z$4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'UT-GOM2-1-H005-4FB-5'!$Z$6:$Z$198</c:f>
              <c:numCache>
                <c:formatCode>0.00</c:formatCode>
                <c:ptCount val="193"/>
                <c:pt idx="0">
                  <c:v>0.0</c:v>
                </c:pt>
                <c:pt idx="1">
                  <c:v>1.736945809734195</c:v>
                </c:pt>
                <c:pt idx="2">
                  <c:v>2.160064505284444</c:v>
                </c:pt>
                <c:pt idx="3">
                  <c:v>2.080843550375628</c:v>
                </c:pt>
                <c:pt idx="4">
                  <c:v>1.856724455314759</c:v>
                </c:pt>
                <c:pt idx="5">
                  <c:v>1.694887716975104</c:v>
                </c:pt>
                <c:pt idx="6">
                  <c:v>1.535589474424746</c:v>
                </c:pt>
                <c:pt idx="7">
                  <c:v>1.451212566715069</c:v>
                </c:pt>
                <c:pt idx="8">
                  <c:v>1.563705021084256</c:v>
                </c:pt>
                <c:pt idx="9">
                  <c:v>1.591654764024981</c:v>
                </c:pt>
                <c:pt idx="10">
                  <c:v>1.708465883610474</c:v>
                </c:pt>
                <c:pt idx="11">
                  <c:v>1.72200958446236</c:v>
                </c:pt>
                <c:pt idx="12">
                  <c:v>1.830549669589379</c:v>
                </c:pt>
                <c:pt idx="13">
                  <c:v>1.98985113171384</c:v>
                </c:pt>
                <c:pt idx="14">
                  <c:v>2.293068263584594</c:v>
                </c:pt>
                <c:pt idx="15">
                  <c:v>2.393301734563906</c:v>
                </c:pt>
                <c:pt idx="16">
                  <c:v>2.894192212964942</c:v>
                </c:pt>
                <c:pt idx="17">
                  <c:v>3.416232097233852</c:v>
                </c:pt>
                <c:pt idx="18">
                  <c:v>4.543832737626921</c:v>
                </c:pt>
                <c:pt idx="19">
                  <c:v>6.394043705239554</c:v>
                </c:pt>
                <c:pt idx="20">
                  <c:v>6.391118212433</c:v>
                </c:pt>
                <c:pt idx="21">
                  <c:v>6.537123135293011</c:v>
                </c:pt>
                <c:pt idx="22">
                  <c:v>6.414533487947884</c:v>
                </c:pt>
                <c:pt idx="23">
                  <c:v>6.703350956689302</c:v>
                </c:pt>
                <c:pt idx="24">
                  <c:v>6.789608989267922</c:v>
                </c:pt>
              </c:numCache>
            </c:numRef>
          </c:xVal>
          <c:yVal>
            <c:numRef>
              <c:f>'UT-GOM2-1-H005-4FB-5'!$AB$6:$AB$198</c:f>
              <c:numCache>
                <c:formatCode>0.0</c:formatCode>
                <c:ptCount val="193"/>
                <c:pt idx="0">
                  <c:v>20.4</c:v>
                </c:pt>
                <c:pt idx="1">
                  <c:v>15.0</c:v>
                </c:pt>
                <c:pt idx="2">
                  <c:v>12.5</c:v>
                </c:pt>
                <c:pt idx="3">
                  <c:v>9.8</c:v>
                </c:pt>
                <c:pt idx="4">
                  <c:v>8.0</c:v>
                </c:pt>
                <c:pt idx="5">
                  <c:v>6.9</c:v>
                </c:pt>
                <c:pt idx="6">
                  <c:v>6.0</c:v>
                </c:pt>
                <c:pt idx="7">
                  <c:v>5.4</c:v>
                </c:pt>
                <c:pt idx="8">
                  <c:v>5.3</c:v>
                </c:pt>
                <c:pt idx="9">
                  <c:v>5.1</c:v>
                </c:pt>
                <c:pt idx="10">
                  <c:v>5.0</c:v>
                </c:pt>
                <c:pt idx="11">
                  <c:v>4.7</c:v>
                </c:pt>
                <c:pt idx="12">
                  <c:v>4.6</c:v>
                </c:pt>
                <c:pt idx="13">
                  <c:v>4.4</c:v>
                </c:pt>
                <c:pt idx="14">
                  <c:v>4.4</c:v>
                </c:pt>
                <c:pt idx="15">
                  <c:v>4.0</c:v>
                </c:pt>
                <c:pt idx="16">
                  <c:v>3.8</c:v>
                </c:pt>
                <c:pt idx="17">
                  <c:v>3.1</c:v>
                </c:pt>
                <c:pt idx="18">
                  <c:v>2.7</c:v>
                </c:pt>
                <c:pt idx="19">
                  <c:v>2.7</c:v>
                </c:pt>
                <c:pt idx="20">
                  <c:v>1.5</c:v>
                </c:pt>
                <c:pt idx="21">
                  <c:v>0.7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'UT-GOM2-1-H005-4FB-5'!$U$4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'UT-GOM2-1-H005-4FB-5'!$V$6:$V$198</c:f>
              <c:numCache>
                <c:formatCode>0.00</c:formatCode>
                <c:ptCount val="19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0.341057506299262</c:v>
                </c:pt>
                <c:pt idx="19">
                  <c:v>1.353171829851004</c:v>
                </c:pt>
                <c:pt idx="20">
                  <c:v>3.085685255147696</c:v>
                </c:pt>
                <c:pt idx="21">
                  <c:v>4.623174888039633</c:v>
                </c:pt>
                <c:pt idx="22">
                  <c:v>6.122110140885662</c:v>
                </c:pt>
                <c:pt idx="23">
                  <c:v>6.38774423632673</c:v>
                </c:pt>
                <c:pt idx="24">
                  <c:v>6.468383158157055</c:v>
                </c:pt>
              </c:numCache>
            </c:numRef>
          </c:xVal>
          <c:yVal>
            <c:numRef>
              <c:f>'UT-GOM2-1-H005-4FB-5'!$AB$6:$AB$198</c:f>
              <c:numCache>
                <c:formatCode>0.0</c:formatCode>
                <c:ptCount val="193"/>
                <c:pt idx="0">
                  <c:v>20.4</c:v>
                </c:pt>
                <c:pt idx="1">
                  <c:v>15.0</c:v>
                </c:pt>
                <c:pt idx="2">
                  <c:v>12.5</c:v>
                </c:pt>
                <c:pt idx="3">
                  <c:v>9.8</c:v>
                </c:pt>
                <c:pt idx="4">
                  <c:v>8.0</c:v>
                </c:pt>
                <c:pt idx="5">
                  <c:v>6.9</c:v>
                </c:pt>
                <c:pt idx="6">
                  <c:v>6.0</c:v>
                </c:pt>
                <c:pt idx="7">
                  <c:v>5.4</c:v>
                </c:pt>
                <c:pt idx="8">
                  <c:v>5.3</c:v>
                </c:pt>
                <c:pt idx="9">
                  <c:v>5.1</c:v>
                </c:pt>
                <c:pt idx="10">
                  <c:v>5.0</c:v>
                </c:pt>
                <c:pt idx="11">
                  <c:v>4.7</c:v>
                </c:pt>
                <c:pt idx="12">
                  <c:v>4.6</c:v>
                </c:pt>
                <c:pt idx="13">
                  <c:v>4.4</c:v>
                </c:pt>
                <c:pt idx="14">
                  <c:v>4.4</c:v>
                </c:pt>
                <c:pt idx="15">
                  <c:v>4.0</c:v>
                </c:pt>
                <c:pt idx="16">
                  <c:v>3.8</c:v>
                </c:pt>
                <c:pt idx="17">
                  <c:v>3.1</c:v>
                </c:pt>
                <c:pt idx="18">
                  <c:v>2.7</c:v>
                </c:pt>
                <c:pt idx="19">
                  <c:v>2.7</c:v>
                </c:pt>
                <c:pt idx="20">
                  <c:v>1.5</c:v>
                </c:pt>
                <c:pt idx="21">
                  <c:v>0.7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'UT-GOM2-1-H005-4FB-5'!$W$4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'UT-GOM2-1-H005-4FB-5'!$Y$6:$Y$198</c:f>
              <c:numCache>
                <c:formatCode>0.00</c:formatCode>
                <c:ptCount val="193"/>
                <c:pt idx="0">
                  <c:v>0.0</c:v>
                </c:pt>
                <c:pt idx="1">
                  <c:v>1.736945809734195</c:v>
                </c:pt>
                <c:pt idx="2">
                  <c:v>2.160064505284444</c:v>
                </c:pt>
                <c:pt idx="3">
                  <c:v>2.080843550375628</c:v>
                </c:pt>
                <c:pt idx="4">
                  <c:v>1.856724455314759</c:v>
                </c:pt>
                <c:pt idx="5">
                  <c:v>1.694887716975104</c:v>
                </c:pt>
                <c:pt idx="6">
                  <c:v>1.535589474424746</c:v>
                </c:pt>
                <c:pt idx="7">
                  <c:v>1.451212566715069</c:v>
                </c:pt>
                <c:pt idx="8">
                  <c:v>1.563705021084256</c:v>
                </c:pt>
                <c:pt idx="9">
                  <c:v>1.591654764024981</c:v>
                </c:pt>
                <c:pt idx="10">
                  <c:v>1.708465883610474</c:v>
                </c:pt>
                <c:pt idx="11">
                  <c:v>1.72200958446236</c:v>
                </c:pt>
                <c:pt idx="12">
                  <c:v>1.830549669589379</c:v>
                </c:pt>
                <c:pt idx="13">
                  <c:v>1.98985113171384</c:v>
                </c:pt>
                <c:pt idx="14">
                  <c:v>2.293068263584594</c:v>
                </c:pt>
                <c:pt idx="15">
                  <c:v>2.393301734563906</c:v>
                </c:pt>
                <c:pt idx="16">
                  <c:v>2.894192212964942</c:v>
                </c:pt>
                <c:pt idx="17">
                  <c:v>3.416232097233852</c:v>
                </c:pt>
                <c:pt idx="18">
                  <c:v>4.202775231327658</c:v>
                </c:pt>
                <c:pt idx="19">
                  <c:v>5.04087187538855</c:v>
                </c:pt>
                <c:pt idx="20">
                  <c:v>3.305432957285304</c:v>
                </c:pt>
                <c:pt idx="21">
                  <c:v>1.913948247253379</c:v>
                </c:pt>
                <c:pt idx="22">
                  <c:v>0.292423347062223</c:v>
                </c:pt>
                <c:pt idx="23">
                  <c:v>0.315606720362572</c:v>
                </c:pt>
                <c:pt idx="24">
                  <c:v>0.321225831110868</c:v>
                </c:pt>
              </c:numCache>
            </c:numRef>
          </c:xVal>
          <c:yVal>
            <c:numRef>
              <c:f>'UT-GOM2-1-H005-4FB-5'!$AB$6:$AB$198</c:f>
              <c:numCache>
                <c:formatCode>0.0</c:formatCode>
                <c:ptCount val="193"/>
                <c:pt idx="0">
                  <c:v>20.4</c:v>
                </c:pt>
                <c:pt idx="1">
                  <c:v>15.0</c:v>
                </c:pt>
                <c:pt idx="2">
                  <c:v>12.5</c:v>
                </c:pt>
                <c:pt idx="3">
                  <c:v>9.8</c:v>
                </c:pt>
                <c:pt idx="4">
                  <c:v>8.0</c:v>
                </c:pt>
                <c:pt idx="5">
                  <c:v>6.9</c:v>
                </c:pt>
                <c:pt idx="6">
                  <c:v>6.0</c:v>
                </c:pt>
                <c:pt idx="7">
                  <c:v>5.4</c:v>
                </c:pt>
                <c:pt idx="8">
                  <c:v>5.3</c:v>
                </c:pt>
                <c:pt idx="9">
                  <c:v>5.1</c:v>
                </c:pt>
                <c:pt idx="10">
                  <c:v>5.0</c:v>
                </c:pt>
                <c:pt idx="11">
                  <c:v>4.7</c:v>
                </c:pt>
                <c:pt idx="12">
                  <c:v>4.6</c:v>
                </c:pt>
                <c:pt idx="13">
                  <c:v>4.4</c:v>
                </c:pt>
                <c:pt idx="14">
                  <c:v>4.4</c:v>
                </c:pt>
                <c:pt idx="15">
                  <c:v>4.0</c:v>
                </c:pt>
                <c:pt idx="16">
                  <c:v>3.8</c:v>
                </c:pt>
                <c:pt idx="17">
                  <c:v>3.1</c:v>
                </c:pt>
                <c:pt idx="18">
                  <c:v>2.7</c:v>
                </c:pt>
                <c:pt idx="19">
                  <c:v>2.7</c:v>
                </c:pt>
                <c:pt idx="20">
                  <c:v>1.5</c:v>
                </c:pt>
                <c:pt idx="21">
                  <c:v>0.7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950584"/>
        <c:axId val="-2134019928"/>
      </c:scatterChart>
      <c:valAx>
        <c:axId val="-2129950584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06797775"/>
              <c:y val="0.9517441368216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4019928"/>
        <c:crosses val="autoZero"/>
        <c:crossBetween val="midCat"/>
        <c:minorUnit val="1.0"/>
      </c:valAx>
      <c:valAx>
        <c:axId val="-2134019928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4955104296"/>
              <c:y val="0.406135297603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950584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539137751"/>
          <c:y val="0.144544577089154"/>
          <c:w val="0.312371748985923"/>
          <c:h val="0.105055964778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673100</xdr:colOff>
      <xdr:row>2</xdr:row>
      <xdr:rowOff>101600</xdr:rowOff>
    </xdr:from>
    <xdr:to>
      <xdr:col>11</xdr:col>
      <xdr:colOff>101600</xdr:colOff>
      <xdr:row>38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990"/>
  <sheetViews>
    <sheetView zoomScale="75" zoomScaleNormal="75" zoomScalePageLayoutView="75" workbookViewId="0">
      <selection activeCell="M43" sqref="M43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88" t="s">
        <v>1</v>
      </c>
      <c r="B1" s="89"/>
      <c r="C1" s="89"/>
      <c r="D1" s="89"/>
      <c r="E1" s="89"/>
      <c r="F1" s="90">
        <v>41421</v>
      </c>
      <c r="G1" s="91"/>
      <c r="H1" s="92"/>
      <c r="I1" s="93" t="s">
        <v>11</v>
      </c>
      <c r="J1" s="89"/>
      <c r="K1" s="89"/>
      <c r="L1" s="91" t="s">
        <v>61</v>
      </c>
      <c r="M1" s="91"/>
      <c r="N1" s="92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106" t="s">
        <v>10</v>
      </c>
      <c r="B2" s="107"/>
      <c r="C2" s="107"/>
      <c r="D2" s="107"/>
      <c r="E2" s="107"/>
      <c r="F2" s="108">
        <v>1013</v>
      </c>
      <c r="G2" s="108"/>
      <c r="H2" s="109"/>
      <c r="I2" s="110" t="s">
        <v>4</v>
      </c>
      <c r="J2" s="107"/>
      <c r="K2" s="107"/>
      <c r="L2" s="108" t="s">
        <v>62</v>
      </c>
      <c r="M2" s="108"/>
      <c r="N2" s="67">
        <f>IF(L2="red",4025, IF(L2="green",4140,IF(L2="yellow",4122,IF(L2="blue",4059,0))))</f>
        <v>4122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71">
        <f>IF(VALUE(LEFT(RIGHT(L1,7),3))=35,26,90)</f>
        <v>26</v>
      </c>
      <c r="Y2" s="4"/>
      <c r="Z2" s="4" t="s">
        <v>13</v>
      </c>
    </row>
    <row r="3" spans="1:28" ht="25" customHeight="1" thickBot="1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Q3" s="83" t="s">
        <v>35</v>
      </c>
      <c r="R3" s="84"/>
      <c r="S3" s="85"/>
    </row>
    <row r="4" spans="1:28" ht="25" customHeight="1">
      <c r="A4" s="102" t="s">
        <v>17</v>
      </c>
      <c r="B4" s="94" t="s">
        <v>16</v>
      </c>
      <c r="C4" s="104" t="s">
        <v>28</v>
      </c>
      <c r="D4" s="96" t="s">
        <v>31</v>
      </c>
      <c r="E4" s="98"/>
      <c r="F4" s="96" t="s">
        <v>3</v>
      </c>
      <c r="G4" s="97"/>
      <c r="H4" s="56"/>
      <c r="I4" s="111" t="s">
        <v>2</v>
      </c>
      <c r="J4" s="111"/>
      <c r="K4" s="111"/>
      <c r="L4" s="112"/>
      <c r="M4" s="113" t="s">
        <v>26</v>
      </c>
      <c r="N4" s="75" t="s">
        <v>29</v>
      </c>
      <c r="O4" s="82" t="s">
        <v>34</v>
      </c>
      <c r="P4" s="81"/>
      <c r="Q4" s="47" t="s">
        <v>37</v>
      </c>
      <c r="R4" s="86" t="s">
        <v>36</v>
      </c>
      <c r="S4" s="87"/>
      <c r="T4" s="51" t="s">
        <v>38</v>
      </c>
      <c r="U4" s="80" t="s">
        <v>32</v>
      </c>
      <c r="V4" s="81"/>
      <c r="W4" s="77" t="s">
        <v>45</v>
      </c>
      <c r="X4" s="78"/>
      <c r="Y4" s="79"/>
      <c r="Z4" s="51" t="s">
        <v>33</v>
      </c>
      <c r="AB4" s="51" t="s">
        <v>48</v>
      </c>
    </row>
    <row r="5" spans="1:28" s="4" customFormat="1" ht="77.25" customHeight="1" thickBot="1">
      <c r="A5" s="103"/>
      <c r="B5" s="95"/>
      <c r="C5" s="105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4"/>
      <c r="N5" s="76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" customHeight="1">
      <c r="A6" s="23">
        <v>1</v>
      </c>
      <c r="B6" s="24">
        <v>41421</v>
      </c>
      <c r="C6" s="25">
        <v>0.45416666666666666</v>
      </c>
      <c r="D6" s="26">
        <v>204</v>
      </c>
      <c r="E6" s="27">
        <v>204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8</v>
      </c>
      <c r="M6" s="26"/>
      <c r="N6" s="33" t="s">
        <v>50</v>
      </c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4122</v>
      </c>
      <c r="S6" s="63">
        <f>IF(I6=J6,0,R6*(J6-I6))*273/(273+L6)</f>
        <v>0</v>
      </c>
      <c r="T6" s="74">
        <f t="shared" ref="T6:T22" si="2">T7</f>
        <v>93.661285840349862</v>
      </c>
      <c r="U6" s="61">
        <f>(S6+Q6)*T6/100</f>
        <v>0</v>
      </c>
      <c r="V6" s="64">
        <f>U6/1000</f>
        <v>0</v>
      </c>
      <c r="W6" s="64">
        <f>(G6+K6)/1000</f>
        <v>0</v>
      </c>
      <c r="X6" s="72">
        <v>0</v>
      </c>
      <c r="Y6" s="64">
        <f>(W6-X6)*(E6+1)*1*273/(273+L6)*T6/100</f>
        <v>0</v>
      </c>
      <c r="Z6" s="64">
        <f>V6+Y6</f>
        <v>0</v>
      </c>
      <c r="AB6" s="70">
        <f>E6/10</f>
        <v>20.399999999999999</v>
      </c>
    </row>
    <row r="7" spans="1:28" s="40" customFormat="1" ht="20" customHeight="1">
      <c r="A7" s="35">
        <f>A6+1</f>
        <v>2</v>
      </c>
      <c r="B7" s="24">
        <v>41421</v>
      </c>
      <c r="C7" s="25">
        <v>0.45416666666666666</v>
      </c>
      <c r="D7" s="26">
        <v>204</v>
      </c>
      <c r="E7" s="27">
        <v>150</v>
      </c>
      <c r="F7" s="36">
        <v>0</v>
      </c>
      <c r="G7" s="73">
        <v>15</v>
      </c>
      <c r="H7" s="37"/>
      <c r="I7" s="31">
        <v>1</v>
      </c>
      <c r="J7" s="31">
        <v>1</v>
      </c>
      <c r="K7" s="32">
        <v>0</v>
      </c>
      <c r="L7" s="27">
        <v>8</v>
      </c>
      <c r="M7" s="38"/>
      <c r="N7" s="39" t="s">
        <v>63</v>
      </c>
      <c r="O7" s="61">
        <f t="shared" ref="O7:O20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4122</v>
      </c>
      <c r="S7" s="63">
        <f t="shared" ref="S7:S20" si="4">IF(I7=J7,0,R7*(J7-I7))*273/(273+L7)</f>
        <v>0</v>
      </c>
      <c r="T7" s="74">
        <f t="shared" si="2"/>
        <v>93.661285840349862</v>
      </c>
      <c r="U7" s="61">
        <f>(S7+Q7)*T7/100</f>
        <v>0</v>
      </c>
      <c r="V7" s="64">
        <f>V6+U7/1000</f>
        <v>0</v>
      </c>
      <c r="W7" s="64">
        <f>W6+(G7+K7)/1000</f>
        <v>1.4999999999999999E-2</v>
      </c>
      <c r="X7" s="72">
        <f>X$2/1000*EXP(-0.016*E7)</f>
        <v>2.3586667855247253E-3</v>
      </c>
      <c r="Y7" s="64">
        <f>(W7-(X7-X6))*(E7+1)*1*273/(273+L7)*T7/100</f>
        <v>1.736945809734195</v>
      </c>
      <c r="Z7" s="64">
        <f>V7+Y7</f>
        <v>1.736945809734195</v>
      </c>
      <c r="AB7" s="70">
        <f t="shared" ref="AB7:AB27" si="5">E7/10</f>
        <v>15</v>
      </c>
    </row>
    <row r="8" spans="1:28" s="40" customFormat="1" ht="20" customHeight="1">
      <c r="A8" s="35">
        <f t="shared" ref="A8:A30" si="6">A7+1</f>
        <v>3</v>
      </c>
      <c r="B8" s="24">
        <v>41421</v>
      </c>
      <c r="C8" s="25">
        <v>0.45833333333333331</v>
      </c>
      <c r="D8" s="26">
        <v>151</v>
      </c>
      <c r="E8" s="27">
        <v>125</v>
      </c>
      <c r="F8" s="36">
        <v>0</v>
      </c>
      <c r="G8" s="29">
        <v>5</v>
      </c>
      <c r="H8" s="37"/>
      <c r="I8" s="31">
        <v>1</v>
      </c>
      <c r="J8" s="31">
        <v>1</v>
      </c>
      <c r="K8" s="32">
        <v>0</v>
      </c>
      <c r="L8" s="27">
        <v>8</v>
      </c>
      <c r="M8" s="38"/>
      <c r="N8" s="39"/>
      <c r="O8" s="61">
        <f t="shared" si="3"/>
        <v>5.9999999986030161</v>
      </c>
      <c r="P8" s="64">
        <f t="shared" ref="P8:P20" si="7">P7+O8/60</f>
        <v>9.9999999976716936E-2</v>
      </c>
      <c r="Q8" s="61">
        <f t="shared" si="0"/>
        <v>0</v>
      </c>
      <c r="R8" s="62">
        <f t="shared" si="1"/>
        <v>4122</v>
      </c>
      <c r="S8" s="63">
        <f t="shared" si="4"/>
        <v>0</v>
      </c>
      <c r="T8" s="74">
        <f t="shared" si="2"/>
        <v>93.661285840349862</v>
      </c>
      <c r="U8" s="61">
        <f t="shared" ref="U8:U20" si="8">(S8+Q8)*T8/100</f>
        <v>0</v>
      </c>
      <c r="V8" s="64">
        <f>V7+U8/1000</f>
        <v>0</v>
      </c>
      <c r="W8" s="64">
        <f t="shared" ref="W8:W20" si="9">W7+(G8+K8)/1000</f>
        <v>0.02</v>
      </c>
      <c r="X8" s="72">
        <f t="shared" ref="X8:X27" si="10">X$2/1000*EXP(-0.016*E8)</f>
        <v>3.5187173641519302E-3</v>
      </c>
      <c r="Y8" s="64">
        <f t="shared" ref="Y8:Y27" si="11">(W8-(X8-X7))*(E8+1)*1*273/(273+L8)*T8/100</f>
        <v>2.1600645052844443</v>
      </c>
      <c r="Z8" s="64">
        <f t="shared" ref="Z8:Z20" si="12">V8+Y8</f>
        <v>2.1600645052844443</v>
      </c>
      <c r="AB8" s="70">
        <f t="shared" si="5"/>
        <v>12.5</v>
      </c>
    </row>
    <row r="9" spans="1:28" s="40" customFormat="1" ht="20" customHeight="1">
      <c r="A9" s="35">
        <f t="shared" si="6"/>
        <v>4</v>
      </c>
      <c r="B9" s="24">
        <v>41421</v>
      </c>
      <c r="C9" s="25">
        <v>0.46666666666666662</v>
      </c>
      <c r="D9" s="26">
        <v>125</v>
      </c>
      <c r="E9" s="27">
        <v>98</v>
      </c>
      <c r="F9" s="36">
        <v>0</v>
      </c>
      <c r="G9" s="29">
        <v>5</v>
      </c>
      <c r="H9" s="37"/>
      <c r="I9" s="31">
        <v>1</v>
      </c>
      <c r="J9" s="31">
        <v>1</v>
      </c>
      <c r="K9" s="32">
        <v>0</v>
      </c>
      <c r="L9" s="27">
        <v>8</v>
      </c>
      <c r="M9" s="38"/>
      <c r="N9" s="39"/>
      <c r="O9" s="61">
        <f t="shared" si="3"/>
        <v>11.999999997206032</v>
      </c>
      <c r="P9" s="64">
        <f t="shared" si="7"/>
        <v>0.29999999993015081</v>
      </c>
      <c r="Q9" s="61">
        <f t="shared" si="0"/>
        <v>0</v>
      </c>
      <c r="R9" s="62">
        <f t="shared" si="1"/>
        <v>4122</v>
      </c>
      <c r="S9" s="63">
        <f t="shared" si="4"/>
        <v>0</v>
      </c>
      <c r="T9" s="74">
        <f t="shared" si="2"/>
        <v>93.661285840349862</v>
      </c>
      <c r="U9" s="61">
        <f t="shared" si="8"/>
        <v>0</v>
      </c>
      <c r="V9" s="64">
        <f>V8+U9/1000</f>
        <v>0</v>
      </c>
      <c r="W9" s="64">
        <f t="shared" si="9"/>
        <v>2.5000000000000001E-2</v>
      </c>
      <c r="X9" s="72">
        <f t="shared" si="10"/>
        <v>5.4200039163304192E-3</v>
      </c>
      <c r="Y9" s="64">
        <f t="shared" si="11"/>
        <v>2.0808435503756284</v>
      </c>
      <c r="Z9" s="64">
        <f t="shared" si="12"/>
        <v>2.0808435503756284</v>
      </c>
      <c r="AB9" s="70">
        <f t="shared" si="5"/>
        <v>9.8000000000000007</v>
      </c>
    </row>
    <row r="10" spans="1:28" s="40" customFormat="1" ht="20" customHeight="1">
      <c r="A10" s="35">
        <f t="shared" si="6"/>
        <v>5</v>
      </c>
      <c r="B10" s="24">
        <v>41421</v>
      </c>
      <c r="C10" s="25">
        <v>0.47916666666666669</v>
      </c>
      <c r="D10" s="26">
        <v>99</v>
      </c>
      <c r="E10" s="27">
        <v>80</v>
      </c>
      <c r="F10" s="36">
        <v>0</v>
      </c>
      <c r="G10" s="29">
        <v>2</v>
      </c>
      <c r="H10" s="37"/>
      <c r="I10" s="31">
        <v>1</v>
      </c>
      <c r="J10" s="31">
        <v>1</v>
      </c>
      <c r="K10" s="32">
        <v>0</v>
      </c>
      <c r="L10" s="27">
        <v>8</v>
      </c>
      <c r="M10" s="38"/>
      <c r="N10" s="39"/>
      <c r="O10" s="61">
        <f t="shared" si="3"/>
        <v>17.999999995809048</v>
      </c>
      <c r="P10" s="64">
        <f t="shared" si="7"/>
        <v>0.59999999986030161</v>
      </c>
      <c r="Q10" s="61">
        <f t="shared" si="0"/>
        <v>0</v>
      </c>
      <c r="R10" s="62">
        <f t="shared" si="1"/>
        <v>4122</v>
      </c>
      <c r="S10" s="63">
        <f t="shared" si="4"/>
        <v>0</v>
      </c>
      <c r="T10" s="74">
        <f t="shared" si="2"/>
        <v>93.661285840349862</v>
      </c>
      <c r="U10" s="61">
        <f t="shared" si="8"/>
        <v>0</v>
      </c>
      <c r="V10" s="64">
        <f>V9+U10/1000</f>
        <v>0</v>
      </c>
      <c r="W10" s="64">
        <f t="shared" si="9"/>
        <v>2.7000000000000003E-2</v>
      </c>
      <c r="X10" s="72">
        <f t="shared" si="10"/>
        <v>7.2289698117830471E-3</v>
      </c>
      <c r="Y10" s="64">
        <f t="shared" si="11"/>
        <v>1.856724455314759</v>
      </c>
      <c r="Z10" s="64">
        <f t="shared" si="12"/>
        <v>1.856724455314759</v>
      </c>
      <c r="AB10" s="70">
        <f t="shared" si="5"/>
        <v>8</v>
      </c>
    </row>
    <row r="11" spans="1:28" s="40" customFormat="1" ht="20" customHeight="1">
      <c r="A11" s="35">
        <f t="shared" si="6"/>
        <v>6</v>
      </c>
      <c r="B11" s="24">
        <v>41421</v>
      </c>
      <c r="C11" s="25">
        <v>0.49513888888888885</v>
      </c>
      <c r="D11" s="26">
        <v>80</v>
      </c>
      <c r="E11" s="27">
        <v>69</v>
      </c>
      <c r="F11" s="36">
        <v>0</v>
      </c>
      <c r="G11" s="29">
        <v>1</v>
      </c>
      <c r="H11" s="37"/>
      <c r="I11" s="31">
        <v>1</v>
      </c>
      <c r="J11" s="31">
        <v>1</v>
      </c>
      <c r="K11" s="32">
        <v>0</v>
      </c>
      <c r="L11" s="27">
        <v>8</v>
      </c>
      <c r="M11" s="38"/>
      <c r="N11" s="39"/>
      <c r="O11" s="61">
        <f t="shared" si="3"/>
        <v>23.000000001629815</v>
      </c>
      <c r="P11" s="64">
        <f t="shared" si="7"/>
        <v>0.98333333322079852</v>
      </c>
      <c r="Q11" s="61">
        <f t="shared" si="0"/>
        <v>0</v>
      </c>
      <c r="R11" s="62">
        <f t="shared" si="1"/>
        <v>4122</v>
      </c>
      <c r="S11" s="63">
        <f t="shared" si="4"/>
        <v>0</v>
      </c>
      <c r="T11" s="74">
        <f t="shared" si="2"/>
        <v>93.661285840349862</v>
      </c>
      <c r="U11" s="61">
        <f t="shared" si="8"/>
        <v>0</v>
      </c>
      <c r="V11" s="64">
        <f t="shared" ref="V11:V20" si="13">V10+U11/1000</f>
        <v>0</v>
      </c>
      <c r="W11" s="64">
        <f t="shared" si="9"/>
        <v>2.8000000000000004E-2</v>
      </c>
      <c r="X11" s="72">
        <f t="shared" si="10"/>
        <v>8.6200987284068709E-3</v>
      </c>
      <c r="Y11" s="64">
        <f t="shared" si="11"/>
        <v>1.6948877169751038</v>
      </c>
      <c r="Z11" s="64">
        <f t="shared" si="12"/>
        <v>1.6948877169751038</v>
      </c>
      <c r="AB11" s="70">
        <f t="shared" si="5"/>
        <v>6.9</v>
      </c>
    </row>
    <row r="12" spans="1:28" s="40" customFormat="1" ht="20" customHeight="1">
      <c r="A12" s="35">
        <f t="shared" si="6"/>
        <v>7</v>
      </c>
      <c r="B12" s="24">
        <v>41421</v>
      </c>
      <c r="C12" s="25">
        <v>0.49791666666666662</v>
      </c>
      <c r="D12" s="26">
        <v>69</v>
      </c>
      <c r="E12" s="27">
        <v>60</v>
      </c>
      <c r="F12" s="36">
        <v>0</v>
      </c>
      <c r="G12" s="29">
        <v>1</v>
      </c>
      <c r="H12" s="37"/>
      <c r="I12" s="31">
        <v>1</v>
      </c>
      <c r="J12" s="31">
        <v>1</v>
      </c>
      <c r="K12" s="32">
        <v>0</v>
      </c>
      <c r="L12" s="27">
        <v>8</v>
      </c>
      <c r="M12" s="38"/>
      <c r="N12" s="39"/>
      <c r="O12" s="61">
        <f t="shared" si="3"/>
        <v>4.0000000025611371</v>
      </c>
      <c r="P12" s="64">
        <f t="shared" si="7"/>
        <v>1.0499999999301508</v>
      </c>
      <c r="Q12" s="61">
        <f t="shared" si="0"/>
        <v>0</v>
      </c>
      <c r="R12" s="62">
        <f t="shared" si="1"/>
        <v>4122</v>
      </c>
      <c r="S12" s="63">
        <f t="shared" si="4"/>
        <v>0</v>
      </c>
      <c r="T12" s="74">
        <f t="shared" si="2"/>
        <v>93.661285840349862</v>
      </c>
      <c r="U12" s="61">
        <f t="shared" si="8"/>
        <v>0</v>
      </c>
      <c r="V12" s="64">
        <f t="shared" si="13"/>
        <v>0</v>
      </c>
      <c r="W12" s="64">
        <f t="shared" si="9"/>
        <v>2.9000000000000005E-2</v>
      </c>
      <c r="X12" s="72">
        <f t="shared" si="10"/>
        <v>9.9552150353529132E-3</v>
      </c>
      <c r="Y12" s="64">
        <f t="shared" si="11"/>
        <v>1.5355894744247465</v>
      </c>
      <c r="Z12" s="64">
        <f t="shared" si="12"/>
        <v>1.5355894744247465</v>
      </c>
      <c r="AB12" s="70">
        <f t="shared" si="5"/>
        <v>6</v>
      </c>
    </row>
    <row r="13" spans="1:28" s="40" customFormat="1" ht="20" customHeight="1">
      <c r="A13" s="35">
        <f t="shared" si="6"/>
        <v>8</v>
      </c>
      <c r="B13" s="24">
        <v>41421</v>
      </c>
      <c r="C13" s="25">
        <v>0.49861111111111112</v>
      </c>
      <c r="D13" s="26">
        <v>61</v>
      </c>
      <c r="E13" s="27">
        <v>54</v>
      </c>
      <c r="F13" s="36">
        <v>0</v>
      </c>
      <c r="G13" s="29">
        <v>1</v>
      </c>
      <c r="H13" s="37"/>
      <c r="I13" s="31">
        <v>1</v>
      </c>
      <c r="J13" s="31">
        <v>1</v>
      </c>
      <c r="K13" s="32">
        <v>0</v>
      </c>
      <c r="L13" s="27">
        <v>8</v>
      </c>
      <c r="M13" s="38"/>
      <c r="N13" s="39"/>
      <c r="O13" s="61">
        <f t="shared" si="3"/>
        <v>1.000000003259629</v>
      </c>
      <c r="P13" s="64">
        <f t="shared" si="7"/>
        <v>1.0666666666511446</v>
      </c>
      <c r="Q13" s="61">
        <f t="shared" si="0"/>
        <v>0</v>
      </c>
      <c r="R13" s="62">
        <f t="shared" si="1"/>
        <v>4122</v>
      </c>
      <c r="S13" s="63">
        <f t="shared" si="4"/>
        <v>0</v>
      </c>
      <c r="T13" s="74">
        <f t="shared" si="2"/>
        <v>93.661285840349862</v>
      </c>
      <c r="U13" s="61">
        <f t="shared" si="8"/>
        <v>0</v>
      </c>
      <c r="V13" s="64">
        <f t="shared" si="13"/>
        <v>0</v>
      </c>
      <c r="W13" s="64">
        <f t="shared" si="9"/>
        <v>3.0000000000000006E-2</v>
      </c>
      <c r="X13" s="72">
        <f t="shared" si="10"/>
        <v>1.0958293184173858E-2</v>
      </c>
      <c r="Y13" s="64">
        <f t="shared" si="11"/>
        <v>1.4512125667150686</v>
      </c>
      <c r="Z13" s="64">
        <f t="shared" si="12"/>
        <v>1.4512125667150686</v>
      </c>
      <c r="AB13" s="70">
        <f t="shared" si="5"/>
        <v>5.4</v>
      </c>
    </row>
    <row r="14" spans="1:28" s="40" customFormat="1" ht="20" customHeight="1">
      <c r="A14" s="35">
        <f t="shared" si="6"/>
        <v>9</v>
      </c>
      <c r="B14" s="24">
        <v>41421</v>
      </c>
      <c r="C14" s="25">
        <v>0.52430555555555558</v>
      </c>
      <c r="D14" s="26">
        <v>60</v>
      </c>
      <c r="E14" s="27">
        <v>53</v>
      </c>
      <c r="F14" s="36">
        <v>0</v>
      </c>
      <c r="G14" s="29">
        <v>2</v>
      </c>
      <c r="H14" s="37"/>
      <c r="I14" s="31">
        <v>1</v>
      </c>
      <c r="J14" s="31">
        <v>1</v>
      </c>
      <c r="K14" s="32">
        <v>0</v>
      </c>
      <c r="L14" s="27">
        <v>8</v>
      </c>
      <c r="M14" s="38"/>
      <c r="N14" s="39"/>
      <c r="O14" s="61">
        <f t="shared" si="3"/>
        <v>36.999999994877726</v>
      </c>
      <c r="P14" s="64">
        <f t="shared" si="7"/>
        <v>1.6833333332324401</v>
      </c>
      <c r="Q14" s="61">
        <f t="shared" si="0"/>
        <v>0</v>
      </c>
      <c r="R14" s="62">
        <f t="shared" si="1"/>
        <v>4122</v>
      </c>
      <c r="S14" s="63">
        <f t="shared" si="4"/>
        <v>0</v>
      </c>
      <c r="T14" s="74">
        <f t="shared" si="2"/>
        <v>93.661285840349862</v>
      </c>
      <c r="U14" s="61">
        <f t="shared" si="8"/>
        <v>0</v>
      </c>
      <c r="V14" s="64">
        <f t="shared" si="13"/>
        <v>0</v>
      </c>
      <c r="W14" s="64">
        <f t="shared" si="9"/>
        <v>3.2000000000000008E-2</v>
      </c>
      <c r="X14" s="72">
        <f t="shared" si="10"/>
        <v>1.1135036047529152E-2</v>
      </c>
      <c r="Y14" s="64">
        <f t="shared" si="11"/>
        <v>1.563705021084256</v>
      </c>
      <c r="Z14" s="64">
        <f t="shared" si="12"/>
        <v>1.563705021084256</v>
      </c>
      <c r="AB14" s="70">
        <f t="shared" si="5"/>
        <v>5.3</v>
      </c>
    </row>
    <row r="15" spans="1:28" s="40" customFormat="1" ht="20" customHeight="1">
      <c r="A15" s="35">
        <f t="shared" si="6"/>
        <v>10</v>
      </c>
      <c r="B15" s="24">
        <v>41421</v>
      </c>
      <c r="C15" s="25">
        <v>0.53055555555555556</v>
      </c>
      <c r="D15" s="26">
        <v>59</v>
      </c>
      <c r="E15" s="27">
        <v>51</v>
      </c>
      <c r="F15" s="36">
        <v>0</v>
      </c>
      <c r="G15" s="29">
        <v>2</v>
      </c>
      <c r="H15" s="37"/>
      <c r="I15" s="31">
        <v>1</v>
      </c>
      <c r="J15" s="31">
        <v>1</v>
      </c>
      <c r="K15" s="32">
        <v>0</v>
      </c>
      <c r="L15" s="27">
        <v>8</v>
      </c>
      <c r="M15" s="38"/>
      <c r="N15" s="39"/>
      <c r="O15" s="61">
        <f t="shared" si="3"/>
        <v>8.9999999979045242</v>
      </c>
      <c r="P15" s="64">
        <f t="shared" si="7"/>
        <v>1.8333333331975155</v>
      </c>
      <c r="Q15" s="61">
        <f t="shared" si="0"/>
        <v>0</v>
      </c>
      <c r="R15" s="62">
        <f t="shared" si="1"/>
        <v>4122</v>
      </c>
      <c r="S15" s="63">
        <f t="shared" si="4"/>
        <v>0</v>
      </c>
      <c r="T15" s="74">
        <f t="shared" si="2"/>
        <v>93.661285840349862</v>
      </c>
      <c r="U15" s="61">
        <f t="shared" si="8"/>
        <v>0</v>
      </c>
      <c r="V15" s="64">
        <f t="shared" si="13"/>
        <v>0</v>
      </c>
      <c r="W15" s="64">
        <f t="shared" si="9"/>
        <v>3.4000000000000009E-2</v>
      </c>
      <c r="X15" s="72">
        <f t="shared" si="10"/>
        <v>1.1497119641277365E-2</v>
      </c>
      <c r="Y15" s="64">
        <f t="shared" si="11"/>
        <v>1.5916547640249812</v>
      </c>
      <c r="Z15" s="64">
        <f t="shared" si="12"/>
        <v>1.5916547640249812</v>
      </c>
      <c r="AB15" s="70">
        <f t="shared" si="5"/>
        <v>5.0999999999999996</v>
      </c>
    </row>
    <row r="16" spans="1:28" s="40" customFormat="1" ht="20" customHeight="1">
      <c r="A16" s="35">
        <f t="shared" si="6"/>
        <v>11</v>
      </c>
      <c r="B16" s="24">
        <v>41421</v>
      </c>
      <c r="C16" s="25">
        <v>0.53611111111111109</v>
      </c>
      <c r="D16" s="26">
        <v>57</v>
      </c>
      <c r="E16" s="27">
        <v>50</v>
      </c>
      <c r="F16" s="36">
        <v>0</v>
      </c>
      <c r="G16" s="29">
        <v>3</v>
      </c>
      <c r="H16" s="37"/>
      <c r="I16" s="31">
        <v>1</v>
      </c>
      <c r="J16" s="31">
        <v>1</v>
      </c>
      <c r="K16" s="32">
        <v>0</v>
      </c>
      <c r="L16" s="27">
        <v>8</v>
      </c>
      <c r="M16" s="38"/>
      <c r="N16" s="39"/>
      <c r="O16" s="61">
        <f t="shared" si="3"/>
        <v>8.0000000051222742</v>
      </c>
      <c r="P16" s="64">
        <f t="shared" si="7"/>
        <v>1.96666666661622</v>
      </c>
      <c r="Q16" s="61">
        <f t="shared" si="0"/>
        <v>0</v>
      </c>
      <c r="R16" s="62">
        <f t="shared" si="1"/>
        <v>4122</v>
      </c>
      <c r="S16" s="63">
        <f t="shared" si="4"/>
        <v>0</v>
      </c>
      <c r="T16" s="74">
        <f t="shared" si="2"/>
        <v>93.661285840349862</v>
      </c>
      <c r="U16" s="61">
        <f t="shared" si="8"/>
        <v>0</v>
      </c>
      <c r="V16" s="64">
        <f t="shared" si="13"/>
        <v>0</v>
      </c>
      <c r="W16" s="64">
        <f t="shared" si="9"/>
        <v>3.7000000000000012E-2</v>
      </c>
      <c r="X16" s="72">
        <f t="shared" si="10"/>
        <v>1.168255306704776E-2</v>
      </c>
      <c r="Y16" s="64">
        <f t="shared" si="11"/>
        <v>1.7084658836104742</v>
      </c>
      <c r="Z16" s="64">
        <f t="shared" si="12"/>
        <v>1.7084658836104742</v>
      </c>
      <c r="AB16" s="70">
        <f t="shared" si="5"/>
        <v>5</v>
      </c>
    </row>
    <row r="17" spans="1:28" s="40" customFormat="1" ht="20" customHeight="1">
      <c r="A17" s="35">
        <f t="shared" si="6"/>
        <v>12</v>
      </c>
      <c r="B17" s="24">
        <v>41421</v>
      </c>
      <c r="C17" s="25">
        <v>0.53819444444444442</v>
      </c>
      <c r="D17" s="26">
        <v>55</v>
      </c>
      <c r="E17" s="27">
        <v>47</v>
      </c>
      <c r="F17" s="36">
        <v>0</v>
      </c>
      <c r="G17" s="29">
        <v>3</v>
      </c>
      <c r="H17" s="37"/>
      <c r="I17" s="31">
        <v>1</v>
      </c>
      <c r="J17" s="31">
        <v>1</v>
      </c>
      <c r="K17" s="32">
        <v>0</v>
      </c>
      <c r="L17" s="27">
        <v>8</v>
      </c>
      <c r="M17" s="38"/>
      <c r="N17" s="39"/>
      <c r="O17" s="61">
        <f t="shared" si="3"/>
        <v>2.9999999993015081</v>
      </c>
      <c r="P17" s="64">
        <f t="shared" si="7"/>
        <v>2.0166666666045785</v>
      </c>
      <c r="Q17" s="61">
        <f t="shared" si="0"/>
        <v>0</v>
      </c>
      <c r="R17" s="62">
        <f t="shared" si="1"/>
        <v>4122</v>
      </c>
      <c r="S17" s="63">
        <f t="shared" si="4"/>
        <v>0</v>
      </c>
      <c r="T17" s="74">
        <f t="shared" si="2"/>
        <v>93.661285840349862</v>
      </c>
      <c r="U17" s="61">
        <f t="shared" si="8"/>
        <v>0</v>
      </c>
      <c r="V17" s="64">
        <f t="shared" si="13"/>
        <v>0</v>
      </c>
      <c r="W17" s="64">
        <f t="shared" si="9"/>
        <v>4.0000000000000015E-2</v>
      </c>
      <c r="X17" s="72">
        <f t="shared" si="10"/>
        <v>1.2256991857217403E-2</v>
      </c>
      <c r="Y17" s="64">
        <f t="shared" si="11"/>
        <v>1.7220095844623591</v>
      </c>
      <c r="Z17" s="64">
        <f t="shared" si="12"/>
        <v>1.7220095844623591</v>
      </c>
      <c r="AB17" s="70">
        <f t="shared" si="5"/>
        <v>4.7</v>
      </c>
    </row>
    <row r="18" spans="1:28" s="40" customFormat="1" ht="20" customHeight="1">
      <c r="A18" s="35">
        <f t="shared" si="6"/>
        <v>13</v>
      </c>
      <c r="B18" s="24">
        <v>41421</v>
      </c>
      <c r="C18" s="25">
        <v>0.54375000000000007</v>
      </c>
      <c r="D18" s="26">
        <v>54</v>
      </c>
      <c r="E18" s="27">
        <v>46</v>
      </c>
      <c r="F18" s="36">
        <v>0</v>
      </c>
      <c r="G18" s="29">
        <v>3</v>
      </c>
      <c r="H18" s="37"/>
      <c r="I18" s="31">
        <v>1</v>
      </c>
      <c r="J18" s="31">
        <v>1</v>
      </c>
      <c r="K18" s="32">
        <v>0</v>
      </c>
      <c r="L18" s="27">
        <v>8</v>
      </c>
      <c r="M18" s="38"/>
      <c r="N18" s="39"/>
      <c r="O18" s="61">
        <f t="shared" si="3"/>
        <v>7.9999999946448952</v>
      </c>
      <c r="P18" s="64">
        <f t="shared" si="7"/>
        <v>2.1499999998486601</v>
      </c>
      <c r="Q18" s="61">
        <f t="shared" si="0"/>
        <v>0</v>
      </c>
      <c r="R18" s="62">
        <f t="shared" si="1"/>
        <v>4122</v>
      </c>
      <c r="S18" s="63">
        <f t="shared" si="4"/>
        <v>0</v>
      </c>
      <c r="T18" s="74">
        <f t="shared" si="2"/>
        <v>93.661285840349862</v>
      </c>
      <c r="U18" s="61">
        <f t="shared" si="8"/>
        <v>0</v>
      </c>
      <c r="V18" s="64">
        <f t="shared" si="13"/>
        <v>0</v>
      </c>
      <c r="W18" s="64">
        <f t="shared" si="9"/>
        <v>4.3000000000000017E-2</v>
      </c>
      <c r="X18" s="72">
        <f t="shared" si="10"/>
        <v>1.2454681022907529E-2</v>
      </c>
      <c r="Y18" s="64">
        <f t="shared" si="11"/>
        <v>1.830549669589379</v>
      </c>
      <c r="Z18" s="64">
        <f t="shared" si="12"/>
        <v>1.830549669589379</v>
      </c>
      <c r="AB18" s="70">
        <f t="shared" si="5"/>
        <v>4.5999999999999996</v>
      </c>
    </row>
    <row r="19" spans="1:28" s="40" customFormat="1" ht="20" customHeight="1">
      <c r="A19" s="35">
        <f t="shared" si="6"/>
        <v>14</v>
      </c>
      <c r="B19" s="24">
        <v>41421</v>
      </c>
      <c r="C19" s="25">
        <v>0.54652777777777783</v>
      </c>
      <c r="D19" s="26">
        <v>52</v>
      </c>
      <c r="E19" s="27">
        <v>44</v>
      </c>
      <c r="F19" s="36">
        <v>0</v>
      </c>
      <c r="G19" s="29">
        <v>6</v>
      </c>
      <c r="H19" s="37"/>
      <c r="I19" s="31">
        <v>1</v>
      </c>
      <c r="J19" s="31">
        <v>1</v>
      </c>
      <c r="K19" s="32">
        <v>0</v>
      </c>
      <c r="L19" s="27">
        <v>8</v>
      </c>
      <c r="M19" s="38"/>
      <c r="N19" s="39"/>
      <c r="O19" s="61">
        <f t="shared" si="3"/>
        <v>4.0000000025611371</v>
      </c>
      <c r="P19" s="64">
        <f t="shared" si="7"/>
        <v>2.2166666665580124</v>
      </c>
      <c r="Q19" s="61">
        <f t="shared" si="0"/>
        <v>0</v>
      </c>
      <c r="R19" s="62">
        <f t="shared" si="1"/>
        <v>4122</v>
      </c>
      <c r="S19" s="63">
        <f t="shared" si="4"/>
        <v>0</v>
      </c>
      <c r="T19" s="74">
        <f t="shared" si="2"/>
        <v>93.661285840349862</v>
      </c>
      <c r="U19" s="61">
        <f t="shared" si="8"/>
        <v>0</v>
      </c>
      <c r="V19" s="64">
        <f t="shared" si="13"/>
        <v>0</v>
      </c>
      <c r="W19" s="64">
        <f t="shared" si="9"/>
        <v>4.9000000000000016E-2</v>
      </c>
      <c r="X19" s="72">
        <f t="shared" si="10"/>
        <v>1.2859676179143482E-2</v>
      </c>
      <c r="Y19" s="64">
        <f t="shared" si="11"/>
        <v>1.9898511317138392</v>
      </c>
      <c r="Z19" s="64">
        <f t="shared" si="12"/>
        <v>1.9898511317138392</v>
      </c>
      <c r="AB19" s="70">
        <f t="shared" si="5"/>
        <v>4.4000000000000004</v>
      </c>
    </row>
    <row r="20" spans="1:28" s="40" customFormat="1" ht="20" customHeight="1">
      <c r="A20" s="35">
        <f t="shared" si="6"/>
        <v>15</v>
      </c>
      <c r="B20" s="24">
        <v>41421</v>
      </c>
      <c r="C20" s="25">
        <v>0.55694444444444446</v>
      </c>
      <c r="D20" s="26">
        <v>53</v>
      </c>
      <c r="E20" s="27">
        <v>44</v>
      </c>
      <c r="F20" s="36">
        <v>0</v>
      </c>
      <c r="G20" s="29">
        <v>7</v>
      </c>
      <c r="H20" s="37"/>
      <c r="I20" s="31">
        <v>1</v>
      </c>
      <c r="J20" s="31">
        <v>1</v>
      </c>
      <c r="K20" s="32">
        <v>0</v>
      </c>
      <c r="L20" s="27">
        <v>8</v>
      </c>
      <c r="M20" s="38"/>
      <c r="N20" s="39"/>
      <c r="O20" s="61">
        <f t="shared" si="3"/>
        <v>14.99999999650754</v>
      </c>
      <c r="P20" s="64">
        <f t="shared" si="7"/>
        <v>2.4666666664998047</v>
      </c>
      <c r="Q20" s="61">
        <f t="shared" si="0"/>
        <v>0</v>
      </c>
      <c r="R20" s="62">
        <f t="shared" si="1"/>
        <v>4122</v>
      </c>
      <c r="S20" s="63">
        <f t="shared" si="4"/>
        <v>0</v>
      </c>
      <c r="T20" s="74">
        <f t="shared" si="2"/>
        <v>93.661285840349862</v>
      </c>
      <c r="U20" s="61">
        <f t="shared" si="8"/>
        <v>0</v>
      </c>
      <c r="V20" s="64">
        <f t="shared" si="13"/>
        <v>0</v>
      </c>
      <c r="W20" s="64">
        <f t="shared" si="9"/>
        <v>5.6000000000000015E-2</v>
      </c>
      <c r="X20" s="72">
        <f t="shared" si="10"/>
        <v>1.2859676179143482E-2</v>
      </c>
      <c r="Y20" s="64">
        <f t="shared" si="11"/>
        <v>2.2930682635845945</v>
      </c>
      <c r="Z20" s="64">
        <f t="shared" si="12"/>
        <v>2.2930682635845945</v>
      </c>
      <c r="AB20" s="70">
        <f t="shared" si="5"/>
        <v>4.4000000000000004</v>
      </c>
    </row>
    <row r="21" spans="1:28" s="40" customFormat="1" ht="20" customHeight="1">
      <c r="A21" s="35">
        <f t="shared" si="6"/>
        <v>16</v>
      </c>
      <c r="B21" s="24">
        <v>41421</v>
      </c>
      <c r="C21" s="25">
        <v>0.56041666666666667</v>
      </c>
      <c r="D21" s="26">
        <v>50</v>
      </c>
      <c r="E21" s="27">
        <v>40</v>
      </c>
      <c r="F21" s="36">
        <v>0</v>
      </c>
      <c r="G21" s="29">
        <v>9</v>
      </c>
      <c r="H21" s="37"/>
      <c r="I21" s="31">
        <v>1</v>
      </c>
      <c r="J21" s="31">
        <v>1</v>
      </c>
      <c r="K21" s="32">
        <v>0</v>
      </c>
      <c r="L21" s="27">
        <v>8</v>
      </c>
      <c r="M21" s="38"/>
      <c r="N21" s="39"/>
      <c r="O21" s="61">
        <f t="shared" ref="O21:O27" si="14">((B21 +C21) - (B20 + C20)) * 24 * 60</f>
        <v>5.0000000058207661</v>
      </c>
      <c r="P21" s="64">
        <f t="shared" ref="P21:P27" si="15">P20+O21/60</f>
        <v>2.5499999999301508</v>
      </c>
      <c r="Q21" s="61">
        <f t="shared" ref="Q21:Q27" si="16">F21*$F$2/1000*273/(273+L21)</f>
        <v>0</v>
      </c>
      <c r="R21" s="62">
        <f t="shared" ref="R21:R27" si="17">$N$2-K21</f>
        <v>4122</v>
      </c>
      <c r="S21" s="63">
        <f t="shared" ref="S21:S27" si="18">IF(I21=J21,0,R21*(J21-I21))*273/(273+L21)</f>
        <v>0</v>
      </c>
      <c r="T21" s="74">
        <f t="shared" si="2"/>
        <v>93.661285840349862</v>
      </c>
      <c r="U21" s="61">
        <f t="shared" ref="U21:U27" si="19">(S21+Q21)*T21/100</f>
        <v>0</v>
      </c>
      <c r="V21" s="64">
        <f t="shared" ref="V21:V27" si="20">V20+U21/1000</f>
        <v>0</v>
      </c>
      <c r="W21" s="64">
        <f t="shared" ref="W21:W27" si="21">W20+(G21+K21)/1000</f>
        <v>6.5000000000000016E-2</v>
      </c>
      <c r="X21" s="72">
        <f t="shared" si="10"/>
        <v>1.3709603025119262E-2</v>
      </c>
      <c r="Y21" s="64">
        <f t="shared" si="11"/>
        <v>2.3933017345639063</v>
      </c>
      <c r="Z21" s="64">
        <f t="shared" ref="Z21:Z27" si="22">V21+Y21</f>
        <v>2.3933017345639063</v>
      </c>
      <c r="AB21" s="70">
        <f t="shared" si="5"/>
        <v>4</v>
      </c>
    </row>
    <row r="22" spans="1:28" ht="20" customHeight="1">
      <c r="A22" s="35">
        <f t="shared" si="6"/>
        <v>17</v>
      </c>
      <c r="B22" s="24">
        <v>41421</v>
      </c>
      <c r="C22" s="25">
        <v>0.56527777777777777</v>
      </c>
      <c r="D22" s="26">
        <v>47</v>
      </c>
      <c r="E22" s="27">
        <v>38</v>
      </c>
      <c r="F22" s="36">
        <v>0</v>
      </c>
      <c r="G22" s="29">
        <v>17</v>
      </c>
      <c r="H22" s="37"/>
      <c r="I22" s="31">
        <v>1</v>
      </c>
      <c r="J22" s="31">
        <v>1</v>
      </c>
      <c r="K22" s="32">
        <v>0</v>
      </c>
      <c r="L22" s="27">
        <v>8</v>
      </c>
      <c r="M22" s="38"/>
      <c r="N22" s="39"/>
      <c r="O22" s="61">
        <f t="shared" si="14"/>
        <v>7.0000000018626451</v>
      </c>
      <c r="P22" s="64">
        <f t="shared" si="15"/>
        <v>2.6666666666278616</v>
      </c>
      <c r="Q22" s="61">
        <f t="shared" si="16"/>
        <v>0</v>
      </c>
      <c r="R22" s="62">
        <f t="shared" si="17"/>
        <v>4122</v>
      </c>
      <c r="S22" s="63">
        <f t="shared" si="18"/>
        <v>0</v>
      </c>
      <c r="T22" s="74">
        <f t="shared" si="2"/>
        <v>93.661285840349862</v>
      </c>
      <c r="U22" s="61">
        <f t="shared" si="19"/>
        <v>0</v>
      </c>
      <c r="V22" s="64">
        <f t="shared" si="20"/>
        <v>0</v>
      </c>
      <c r="W22" s="64">
        <f t="shared" si="21"/>
        <v>8.2000000000000017E-2</v>
      </c>
      <c r="X22" s="72">
        <f t="shared" si="10"/>
        <v>1.4155405114219644E-2</v>
      </c>
      <c r="Y22" s="64">
        <f t="shared" si="11"/>
        <v>2.8941922129649424</v>
      </c>
      <c r="Z22" s="64">
        <f t="shared" si="22"/>
        <v>2.8941922129649424</v>
      </c>
      <c r="AB22" s="70">
        <f t="shared" si="5"/>
        <v>3.8</v>
      </c>
    </row>
    <row r="23" spans="1:28" ht="20" customHeight="1">
      <c r="A23" s="35">
        <f t="shared" si="6"/>
        <v>18</v>
      </c>
      <c r="B23" s="24">
        <v>41421</v>
      </c>
      <c r="C23" s="25">
        <v>0.57013888888888886</v>
      </c>
      <c r="D23" s="26">
        <v>43</v>
      </c>
      <c r="E23" s="27">
        <v>31</v>
      </c>
      <c r="F23" s="36">
        <v>0</v>
      </c>
      <c r="G23" s="29">
        <v>37</v>
      </c>
      <c r="H23" s="37"/>
      <c r="I23" s="31">
        <v>1</v>
      </c>
      <c r="J23" s="31">
        <v>1</v>
      </c>
      <c r="K23" s="32">
        <v>0</v>
      </c>
      <c r="L23" s="27">
        <v>8</v>
      </c>
      <c r="M23" s="38"/>
      <c r="N23" s="39"/>
      <c r="O23" s="61">
        <f t="shared" si="14"/>
        <v>7.0000000018626451</v>
      </c>
      <c r="P23" s="64">
        <f t="shared" si="15"/>
        <v>2.7833333333255723</v>
      </c>
      <c r="Q23" s="61">
        <f t="shared" si="16"/>
        <v>0</v>
      </c>
      <c r="R23" s="62">
        <f t="shared" si="17"/>
        <v>4122</v>
      </c>
      <c r="S23" s="63">
        <f t="shared" si="18"/>
        <v>0</v>
      </c>
      <c r="T23" s="74">
        <f>T24</f>
        <v>93.661285840349862</v>
      </c>
      <c r="U23" s="61">
        <f t="shared" si="19"/>
        <v>0</v>
      </c>
      <c r="V23" s="64">
        <f t="shared" si="20"/>
        <v>0</v>
      </c>
      <c r="W23" s="64">
        <f t="shared" si="21"/>
        <v>0.11900000000000002</v>
      </c>
      <c r="X23" s="72">
        <f t="shared" si="10"/>
        <v>1.5833002667895318E-2</v>
      </c>
      <c r="Y23" s="64">
        <f t="shared" si="11"/>
        <v>3.4162320972338525</v>
      </c>
      <c r="Z23" s="64">
        <f t="shared" si="22"/>
        <v>3.4162320972338525</v>
      </c>
      <c r="AB23" s="70">
        <f t="shared" si="5"/>
        <v>3.1</v>
      </c>
    </row>
    <row r="24" spans="1:28" ht="20" customHeight="1">
      <c r="A24" s="35">
        <f t="shared" si="6"/>
        <v>19</v>
      </c>
      <c r="B24" s="24">
        <v>41421</v>
      </c>
      <c r="C24" s="25">
        <v>0.57777777777777783</v>
      </c>
      <c r="D24" s="26">
        <v>40</v>
      </c>
      <c r="E24" s="27">
        <v>27</v>
      </c>
      <c r="F24" s="36">
        <v>370</v>
      </c>
      <c r="G24" s="29">
        <v>47</v>
      </c>
      <c r="H24" s="37"/>
      <c r="I24" s="31">
        <v>1</v>
      </c>
      <c r="J24" s="31">
        <v>1</v>
      </c>
      <c r="K24" s="32">
        <v>0</v>
      </c>
      <c r="L24" s="27">
        <v>8</v>
      </c>
      <c r="M24" s="38" t="s">
        <v>52</v>
      </c>
      <c r="N24" s="39" t="s">
        <v>53</v>
      </c>
      <c r="O24" s="61">
        <f t="shared" si="14"/>
        <v>10.999999993946403</v>
      </c>
      <c r="P24" s="64">
        <f t="shared" si="15"/>
        <v>2.9666666665580124</v>
      </c>
      <c r="Q24" s="61">
        <f t="shared" si="16"/>
        <v>364.13925266903914</v>
      </c>
      <c r="R24" s="62">
        <f t="shared" si="17"/>
        <v>4122</v>
      </c>
      <c r="S24" s="63">
        <f t="shared" si="18"/>
        <v>0</v>
      </c>
      <c r="T24" s="74">
        <v>93.661285840349862</v>
      </c>
      <c r="U24" s="61">
        <f t="shared" si="19"/>
        <v>341.05750629926251</v>
      </c>
      <c r="V24" s="64">
        <f t="shared" si="20"/>
        <v>0.34105750629926251</v>
      </c>
      <c r="W24" s="64">
        <f t="shared" si="21"/>
        <v>0.16600000000000004</v>
      </c>
      <c r="X24" s="72">
        <f t="shared" si="10"/>
        <v>1.6879443793813832E-2</v>
      </c>
      <c r="Y24" s="64">
        <f t="shared" si="11"/>
        <v>4.2027752313276583</v>
      </c>
      <c r="Z24" s="64">
        <f t="shared" si="22"/>
        <v>4.5438327376269205</v>
      </c>
      <c r="AB24" s="70">
        <f t="shared" si="5"/>
        <v>2.7</v>
      </c>
    </row>
    <row r="25" spans="1:28" ht="20" customHeight="1">
      <c r="A25" s="35">
        <f t="shared" si="6"/>
        <v>20</v>
      </c>
      <c r="B25" s="24">
        <v>41421</v>
      </c>
      <c r="C25" s="25">
        <v>0.59861111111111109</v>
      </c>
      <c r="D25" s="26">
        <v>37</v>
      </c>
      <c r="E25" s="27">
        <v>27</v>
      </c>
      <c r="F25" s="36">
        <v>1060</v>
      </c>
      <c r="G25" s="29">
        <v>25</v>
      </c>
      <c r="H25" s="37"/>
      <c r="I25" s="31">
        <v>1</v>
      </c>
      <c r="J25" s="31">
        <v>1</v>
      </c>
      <c r="K25" s="32">
        <v>0</v>
      </c>
      <c r="L25" s="27">
        <v>8</v>
      </c>
      <c r="M25" s="38" t="s">
        <v>54</v>
      </c>
      <c r="N25" s="39"/>
      <c r="O25" s="61">
        <f t="shared" si="14"/>
        <v>30.00000000349246</v>
      </c>
      <c r="P25" s="64">
        <f t="shared" si="15"/>
        <v>3.46666666661622</v>
      </c>
      <c r="Q25" s="61">
        <f t="shared" si="16"/>
        <v>1043.2097508896798</v>
      </c>
      <c r="R25" s="62">
        <f t="shared" si="17"/>
        <v>4122</v>
      </c>
      <c r="S25" s="63">
        <f t="shared" si="18"/>
        <v>0</v>
      </c>
      <c r="T25" s="74">
        <v>97.019254535205548</v>
      </c>
      <c r="U25" s="61">
        <f t="shared" si="19"/>
        <v>1012.1143235517421</v>
      </c>
      <c r="V25" s="64">
        <f t="shared" si="20"/>
        <v>1.3531718298510045</v>
      </c>
      <c r="W25" s="64">
        <f t="shared" si="21"/>
        <v>0.19100000000000003</v>
      </c>
      <c r="X25" s="72">
        <f t="shared" si="10"/>
        <v>1.6879443793813832E-2</v>
      </c>
      <c r="Y25" s="64">
        <f t="shared" si="11"/>
        <v>5.0408718753885502</v>
      </c>
      <c r="Z25" s="64">
        <f t="shared" si="22"/>
        <v>6.3940437052395547</v>
      </c>
      <c r="AB25" s="70">
        <f t="shared" si="5"/>
        <v>2.7</v>
      </c>
    </row>
    <row r="26" spans="1:28" ht="20" customHeight="1">
      <c r="A26" s="35">
        <f t="shared" si="6"/>
        <v>21</v>
      </c>
      <c r="B26" s="24">
        <v>41421</v>
      </c>
      <c r="C26" s="25">
        <v>0.61319444444444449</v>
      </c>
      <c r="D26" s="26">
        <v>29</v>
      </c>
      <c r="E26" s="27">
        <v>15</v>
      </c>
      <c r="F26" s="36">
        <v>1800</v>
      </c>
      <c r="G26" s="29">
        <v>30</v>
      </c>
      <c r="H26" s="37"/>
      <c r="I26" s="31">
        <v>1</v>
      </c>
      <c r="J26" s="31">
        <v>1</v>
      </c>
      <c r="K26" s="32">
        <v>0</v>
      </c>
      <c r="L26" s="27">
        <v>8</v>
      </c>
      <c r="M26" s="38" t="s">
        <v>55</v>
      </c>
      <c r="N26" s="39"/>
      <c r="O26" s="61">
        <f t="shared" si="14"/>
        <v>20.999999995110556</v>
      </c>
      <c r="P26" s="64">
        <f t="shared" si="15"/>
        <v>3.8166666665347293</v>
      </c>
      <c r="Q26" s="61">
        <f t="shared" si="16"/>
        <v>1771.488256227758</v>
      </c>
      <c r="R26" s="62">
        <f t="shared" si="17"/>
        <v>4122</v>
      </c>
      <c r="S26" s="63">
        <f t="shared" si="18"/>
        <v>0</v>
      </c>
      <c r="T26" s="74">
        <v>97.799882059954484</v>
      </c>
      <c r="U26" s="61">
        <f t="shared" si="19"/>
        <v>1732.5134252966918</v>
      </c>
      <c r="V26" s="64">
        <f t="shared" si="20"/>
        <v>3.0856852551476965</v>
      </c>
      <c r="W26" s="64">
        <f t="shared" si="21"/>
        <v>0.22100000000000003</v>
      </c>
      <c r="X26" s="72">
        <f t="shared" si="10"/>
        <v>2.045232438773039E-2</v>
      </c>
      <c r="Y26" s="64">
        <f t="shared" si="11"/>
        <v>3.3054329572853036</v>
      </c>
      <c r="Z26" s="64">
        <f t="shared" si="22"/>
        <v>6.3911182124329997</v>
      </c>
      <c r="AB26" s="70">
        <f t="shared" si="5"/>
        <v>1.5</v>
      </c>
    </row>
    <row r="27" spans="1:28" ht="20" customHeight="1">
      <c r="A27" s="35">
        <f t="shared" si="6"/>
        <v>22</v>
      </c>
      <c r="B27" s="24">
        <v>41421</v>
      </c>
      <c r="C27" s="25">
        <v>0.64583333333333337</v>
      </c>
      <c r="D27" s="26">
        <v>16</v>
      </c>
      <c r="E27" s="27">
        <v>7</v>
      </c>
      <c r="F27" s="36">
        <v>1600</v>
      </c>
      <c r="G27" s="29">
        <v>34</v>
      </c>
      <c r="H27" s="37"/>
      <c r="I27" s="31">
        <v>1</v>
      </c>
      <c r="J27" s="31">
        <v>1</v>
      </c>
      <c r="K27" s="32">
        <v>0</v>
      </c>
      <c r="L27" s="27">
        <v>8</v>
      </c>
      <c r="M27" s="38" t="s">
        <v>56</v>
      </c>
      <c r="N27" s="39" t="s">
        <v>57</v>
      </c>
      <c r="O27" s="61">
        <f t="shared" si="14"/>
        <v>47.000000006519258</v>
      </c>
      <c r="P27" s="64">
        <f t="shared" si="15"/>
        <v>4.5999999999767169</v>
      </c>
      <c r="Q27" s="61">
        <f t="shared" si="16"/>
        <v>1574.6562277580069</v>
      </c>
      <c r="R27" s="62">
        <f t="shared" si="17"/>
        <v>4122</v>
      </c>
      <c r="S27" s="63">
        <f t="shared" si="18"/>
        <v>0</v>
      </c>
      <c r="T27" s="74">
        <v>97.63970102102931</v>
      </c>
      <c r="U27" s="61">
        <f t="shared" si="19"/>
        <v>1537.4896328919363</v>
      </c>
      <c r="V27" s="64">
        <f t="shared" si="20"/>
        <v>4.6231748880396326</v>
      </c>
      <c r="W27" s="64">
        <f t="shared" si="21"/>
        <v>0.255</v>
      </c>
      <c r="X27" s="72">
        <f t="shared" si="10"/>
        <v>2.3245150695009285E-2</v>
      </c>
      <c r="Y27" s="64">
        <f t="shared" si="11"/>
        <v>1.9139482472533793</v>
      </c>
      <c r="Z27" s="64">
        <f t="shared" si="22"/>
        <v>6.5371231352930117</v>
      </c>
      <c r="AB27" s="70">
        <f t="shared" si="5"/>
        <v>0.7</v>
      </c>
    </row>
    <row r="28" spans="1:28" ht="20" customHeight="1">
      <c r="A28" s="35">
        <f t="shared" si="6"/>
        <v>23</v>
      </c>
      <c r="B28" s="24">
        <v>41421</v>
      </c>
      <c r="C28" s="25">
        <v>0.66666666666666663</v>
      </c>
      <c r="D28" s="26">
        <v>7</v>
      </c>
      <c r="E28" s="27">
        <v>0</v>
      </c>
      <c r="F28" s="36">
        <v>1580</v>
      </c>
      <c r="G28" s="29">
        <v>60</v>
      </c>
      <c r="I28" s="31">
        <v>1</v>
      </c>
      <c r="J28" s="31">
        <v>1</v>
      </c>
      <c r="K28" s="32">
        <v>0</v>
      </c>
      <c r="L28" s="27">
        <v>8</v>
      </c>
      <c r="M28" s="38" t="s">
        <v>58</v>
      </c>
      <c r="N28" s="39" t="s">
        <v>59</v>
      </c>
      <c r="O28" s="61">
        <f t="shared" ref="O28:O30" si="23">((B28 +C28) - (B27 + C27)) * 24 * 60</f>
        <v>29.999999993015081</v>
      </c>
      <c r="P28" s="64">
        <f t="shared" ref="P28:P30" si="24">P27+O28/60</f>
        <v>5.0999999998603016</v>
      </c>
      <c r="Q28" s="61">
        <f t="shared" ref="Q28:Q30" si="25">F28*$F$2/1000*273/(273+L28)</f>
        <v>1554.9730249110319</v>
      </c>
      <c r="R28" s="62">
        <f t="shared" ref="R28:R30" si="26">$N$2-K28</f>
        <v>4122</v>
      </c>
      <c r="S28" s="63">
        <f t="shared" ref="S28:S30" si="27">IF(I28=J28,0,R28*(J28-I28))*273/(273+L28)</f>
        <v>0</v>
      </c>
      <c r="T28" s="74">
        <v>96.396222238761382</v>
      </c>
      <c r="U28" s="61">
        <f t="shared" ref="U28:U30" si="28">(S28+Q28)*T28/100</f>
        <v>1498.9352528460286</v>
      </c>
      <c r="V28" s="64">
        <f t="shared" ref="V28:V30" si="29">V27+U28/1000</f>
        <v>6.1221101408856615</v>
      </c>
      <c r="W28" s="64">
        <f t="shared" ref="W28:W30" si="30">W27+(G28+K28)/1000</f>
        <v>0.315</v>
      </c>
      <c r="X28" s="72">
        <f t="shared" ref="X28:X30" si="31">X$2/1000*EXP(-0.016*E28)</f>
        <v>2.5999999999999999E-2</v>
      </c>
      <c r="Y28" s="64">
        <f t="shared" ref="Y28:Y30" si="32">(W28-(X28-X27))*(E28+1)*1*273/(273+L28)*T28/100</f>
        <v>0.29242334706222278</v>
      </c>
      <c r="Z28" s="64">
        <f t="shared" ref="Z28:Z30" si="33">V28+Y28</f>
        <v>6.4145334879478844</v>
      </c>
      <c r="AB28" s="70">
        <f t="shared" ref="AB28:AB30" si="34">E28/10</f>
        <v>0</v>
      </c>
    </row>
    <row r="29" spans="1:28" ht="20" customHeight="1">
      <c r="A29" s="35">
        <f t="shared" si="6"/>
        <v>24</v>
      </c>
      <c r="B29" s="24">
        <v>41421</v>
      </c>
      <c r="C29" s="25">
        <v>0.69166666666666676</v>
      </c>
      <c r="D29" s="26">
        <v>1</v>
      </c>
      <c r="E29" s="27">
        <v>0</v>
      </c>
      <c r="F29" s="36">
        <v>280</v>
      </c>
      <c r="G29" s="29">
        <v>22</v>
      </c>
      <c r="I29" s="31">
        <v>1</v>
      </c>
      <c r="J29" s="31">
        <v>1</v>
      </c>
      <c r="K29" s="32">
        <v>0</v>
      </c>
      <c r="L29" s="27">
        <v>8</v>
      </c>
      <c r="M29" s="38"/>
      <c r="N29" s="39"/>
      <c r="O29" s="61">
        <f t="shared" si="23"/>
        <v>36.000000002095476</v>
      </c>
      <c r="P29" s="64">
        <f t="shared" si="24"/>
        <v>5.6999999998952262</v>
      </c>
      <c r="Q29" s="61">
        <f t="shared" si="25"/>
        <v>275.56483985765124</v>
      </c>
      <c r="R29" s="62">
        <f t="shared" si="26"/>
        <v>4122</v>
      </c>
      <c r="S29" s="63">
        <f t="shared" si="27"/>
        <v>0</v>
      </c>
      <c r="T29" s="74">
        <f>T28</f>
        <v>96.396222238761382</v>
      </c>
      <c r="U29" s="61">
        <f t="shared" si="28"/>
        <v>265.63409544106838</v>
      </c>
      <c r="V29" s="64">
        <f t="shared" si="29"/>
        <v>6.3877442363267303</v>
      </c>
      <c r="W29" s="64">
        <f t="shared" si="30"/>
        <v>0.33700000000000002</v>
      </c>
      <c r="X29" s="72">
        <f t="shared" si="31"/>
        <v>2.5999999999999999E-2</v>
      </c>
      <c r="Y29" s="64">
        <f t="shared" si="32"/>
        <v>0.31560672036257242</v>
      </c>
      <c r="Z29" s="64">
        <f t="shared" si="33"/>
        <v>6.7033509566893024</v>
      </c>
      <c r="AB29" s="70">
        <f t="shared" si="34"/>
        <v>0</v>
      </c>
    </row>
    <row r="30" spans="1:28" ht="20" customHeight="1">
      <c r="A30" s="35">
        <f t="shared" si="6"/>
        <v>25</v>
      </c>
      <c r="B30" s="24">
        <v>41421</v>
      </c>
      <c r="C30" s="25">
        <v>0.74097222222222225</v>
      </c>
      <c r="D30" s="26">
        <v>0</v>
      </c>
      <c r="E30" s="27">
        <v>0</v>
      </c>
      <c r="F30" s="36">
        <v>85</v>
      </c>
      <c r="G30" s="29">
        <v>6</v>
      </c>
      <c r="I30" s="31">
        <v>1</v>
      </c>
      <c r="J30" s="31">
        <v>1</v>
      </c>
      <c r="K30" s="32">
        <v>0</v>
      </c>
      <c r="L30" s="27">
        <v>8</v>
      </c>
      <c r="M30" s="38"/>
      <c r="N30" s="39" t="s">
        <v>60</v>
      </c>
      <c r="O30" s="61">
        <f t="shared" si="23"/>
        <v>71.000000000931323</v>
      </c>
      <c r="P30" s="64">
        <f t="shared" si="24"/>
        <v>6.8833333332440816</v>
      </c>
      <c r="Q30" s="61">
        <f t="shared" si="25"/>
        <v>83.653612099644135</v>
      </c>
      <c r="R30" s="62">
        <f t="shared" si="26"/>
        <v>4122</v>
      </c>
      <c r="S30" s="63">
        <f t="shared" si="27"/>
        <v>0</v>
      </c>
      <c r="T30" s="74">
        <f>T29</f>
        <v>96.396222238761382</v>
      </c>
      <c r="U30" s="61">
        <f t="shared" si="28"/>
        <v>80.63892183032435</v>
      </c>
      <c r="V30" s="64">
        <f t="shared" si="29"/>
        <v>6.4683831581570548</v>
      </c>
      <c r="W30" s="64">
        <f t="shared" si="30"/>
        <v>0.34300000000000003</v>
      </c>
      <c r="X30" s="72">
        <f t="shared" si="31"/>
        <v>2.5999999999999999E-2</v>
      </c>
      <c r="Y30" s="64">
        <f t="shared" si="32"/>
        <v>0.32122583111086755</v>
      </c>
      <c r="Z30" s="64">
        <f t="shared" si="33"/>
        <v>6.7896089892679221</v>
      </c>
      <c r="AB30" s="70">
        <f t="shared" si="34"/>
        <v>0</v>
      </c>
    </row>
    <row r="31" spans="1:28" ht="20" customHeight="1"/>
    <row r="32" spans="1:2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" customHeight="1"/>
    <row r="1024" ht="20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20" customHeight="1"/>
    <row r="1038" ht="20" customHeight="1"/>
    <row r="1039" ht="20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" customHeight="1"/>
    <row r="1049" ht="20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20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" customHeight="1"/>
    <row r="1074" ht="20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20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" customHeight="1"/>
    <row r="1099" ht="20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" customHeight="1"/>
    <row r="1124" ht="20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" customHeight="1"/>
    <row r="1149" ht="20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20" customHeight="1"/>
    <row r="1195" ht="20" customHeight="1"/>
    <row r="1196" ht="20" customHeight="1"/>
    <row r="1197" ht="20" customHeight="1"/>
    <row r="1198" ht="20" customHeight="1"/>
    <row r="1199" ht="20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" customHeight="1"/>
    <row r="1224" ht="20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20" customHeight="1"/>
    <row r="1238" ht="20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20" customHeight="1"/>
    <row r="1246" ht="20" customHeight="1"/>
    <row r="1247" ht="20" customHeight="1"/>
    <row r="1248" ht="20" customHeight="1"/>
    <row r="1249" ht="20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20" customHeight="1"/>
    <row r="1273" ht="20" customHeight="1"/>
    <row r="1274" ht="20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20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" customHeight="1"/>
    <row r="1299" ht="20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20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20" customHeight="1"/>
    <row r="1320" ht="20" customHeight="1"/>
    <row r="1321" ht="20" customHeight="1"/>
    <row r="1322" ht="20" customHeight="1"/>
    <row r="1323" ht="20" customHeight="1"/>
    <row r="1324" ht="20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20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" customHeight="1"/>
    <row r="1349" ht="20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20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" customHeight="1"/>
    <row r="1374" ht="20" customHeight="1"/>
    <row r="1375" ht="20" customHeight="1"/>
    <row r="1376" ht="20" customHeight="1"/>
    <row r="1377" ht="20" customHeight="1"/>
    <row r="1378" ht="20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" customHeight="1"/>
    <row r="1399" ht="20" customHeight="1"/>
    <row r="1400" ht="20" customHeight="1"/>
    <row r="1401" ht="20" customHeight="1"/>
    <row r="1402" ht="20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20" customHeight="1"/>
    <row r="1411" ht="20" customHeight="1"/>
    <row r="1412" ht="20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" customHeight="1"/>
    <row r="1424" ht="20" customHeight="1"/>
    <row r="1425" ht="20" customHeight="1"/>
    <row r="1426" ht="20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" customHeight="1"/>
    <row r="1449" ht="20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" customHeight="1"/>
    <row r="1474" ht="20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20" customHeight="1"/>
    <row r="1498" ht="20" customHeight="1"/>
    <row r="1499" ht="20" customHeight="1"/>
    <row r="1500" ht="20" customHeight="1"/>
    <row r="1501" ht="20" customHeight="1"/>
    <row r="1502" ht="20" customHeight="1"/>
    <row r="1503" ht="20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" customHeight="1"/>
    <row r="1524" ht="20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" customHeight="1"/>
    <row r="1549" ht="20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20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20" customHeight="1"/>
    <row r="1574" ht="20" customHeight="1"/>
    <row r="1575" ht="20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  <row r="1700" ht="20" customHeight="1"/>
    <row r="1701" ht="20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20" customHeight="1"/>
    <row r="1723" ht="20" customHeight="1"/>
    <row r="1724" ht="20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20" customHeight="1"/>
    <row r="1736" ht="20" customHeight="1"/>
    <row r="1737" ht="20" customHeight="1"/>
    <row r="1738" ht="20" customHeight="1"/>
    <row r="1739" ht="20" customHeight="1"/>
    <row r="1740" ht="20" customHeight="1"/>
    <row r="1741" ht="20" customHeight="1"/>
    <row r="1742" ht="20" customHeight="1"/>
    <row r="1743" ht="20" customHeight="1"/>
    <row r="1744" ht="20" customHeight="1"/>
    <row r="1745" ht="20" customHeight="1"/>
    <row r="1746" ht="20" customHeight="1"/>
    <row r="1747" ht="20" customHeight="1"/>
    <row r="1748" ht="20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" customHeight="1"/>
    <row r="1773" ht="20" customHeight="1"/>
    <row r="1774" ht="20" customHeight="1"/>
    <row r="1775" ht="20" customHeight="1"/>
    <row r="1776" ht="20" customHeight="1"/>
    <row r="1777" ht="20" customHeight="1"/>
    <row r="1778" ht="20" customHeight="1"/>
    <row r="1779" ht="20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20" customHeight="1"/>
    <row r="1787" ht="20" customHeight="1"/>
    <row r="1788" ht="20" customHeight="1"/>
    <row r="1789" ht="20" customHeight="1"/>
    <row r="1790" ht="20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" customHeight="1"/>
    <row r="1798" ht="20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" customHeight="1"/>
    <row r="1823" ht="20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20" customHeight="1"/>
    <row r="1842" ht="20" customHeight="1"/>
    <row r="1843" ht="20" customHeight="1"/>
    <row r="1844" ht="20" customHeight="1"/>
    <row r="1845" ht="20" customHeight="1"/>
    <row r="1846" ht="20" customHeight="1"/>
    <row r="1847" ht="20" customHeight="1"/>
    <row r="1848" ht="20" customHeight="1"/>
    <row r="1849" ht="20" customHeight="1"/>
    <row r="1850" ht="20" customHeight="1"/>
    <row r="1851" ht="20" customHeight="1"/>
    <row r="1852" ht="20" customHeight="1"/>
    <row r="1853" ht="20" customHeight="1"/>
    <row r="1854" ht="20" customHeight="1"/>
    <row r="1855" ht="20" customHeight="1"/>
    <row r="1856" ht="20" customHeight="1"/>
    <row r="1857" ht="20" customHeight="1"/>
    <row r="1858" ht="20" customHeight="1"/>
    <row r="1859" ht="20" customHeight="1"/>
    <row r="1860" ht="20" customHeight="1"/>
    <row r="1861" ht="20" customHeight="1"/>
    <row r="1862" ht="20" customHeight="1"/>
    <row r="1863" ht="20" customHeight="1"/>
    <row r="1864" ht="20" customHeight="1"/>
    <row r="1865" ht="20" customHeight="1"/>
    <row r="1866" ht="20" customHeight="1"/>
    <row r="1867" ht="20" customHeight="1"/>
    <row r="1868" ht="20" customHeight="1"/>
    <row r="1869" ht="20" customHeight="1"/>
    <row r="1870" ht="20" customHeight="1"/>
    <row r="1871" ht="20" customHeight="1"/>
    <row r="1872" ht="20" customHeight="1"/>
    <row r="1873" ht="20" customHeight="1"/>
    <row r="1874" ht="20" customHeight="1"/>
    <row r="1875" ht="20" customHeight="1"/>
    <row r="1876" ht="20" customHeight="1"/>
    <row r="1877" ht="20" customHeight="1"/>
    <row r="1878" ht="20" customHeight="1"/>
    <row r="1879" ht="20" customHeight="1"/>
    <row r="1880" ht="20" customHeight="1"/>
    <row r="1881" ht="20" customHeight="1"/>
    <row r="1882" ht="20" customHeight="1"/>
    <row r="1883" ht="20" customHeight="1"/>
    <row r="1884" ht="20" customHeight="1"/>
    <row r="1885" ht="20" customHeight="1"/>
    <row r="1886" ht="20" customHeight="1"/>
    <row r="1887" ht="20" customHeight="1"/>
    <row r="1888" ht="20" customHeight="1"/>
    <row r="1889" ht="20" customHeight="1"/>
    <row r="1890" ht="20" customHeight="1"/>
    <row r="1891" ht="20" customHeight="1"/>
    <row r="1892" ht="20" customHeight="1"/>
    <row r="1893" ht="20" customHeight="1"/>
    <row r="1894" ht="20" customHeight="1"/>
    <row r="1895" ht="20" customHeight="1"/>
    <row r="1896" ht="20" customHeight="1"/>
    <row r="1897" ht="20" customHeight="1"/>
    <row r="1898" ht="20" customHeight="1"/>
    <row r="1899" ht="20" customHeight="1"/>
    <row r="1900" ht="20" customHeight="1"/>
    <row r="1901" ht="20" customHeight="1"/>
    <row r="1902" ht="20" customHeight="1"/>
    <row r="1903" ht="20" customHeight="1"/>
    <row r="1904" ht="20" customHeight="1"/>
    <row r="1905" ht="20" customHeight="1"/>
    <row r="1906" ht="20" customHeight="1"/>
    <row r="1907" ht="20" customHeight="1"/>
    <row r="1908" ht="20" customHeight="1"/>
    <row r="1909" ht="20" customHeight="1"/>
    <row r="1910" ht="20" customHeight="1"/>
    <row r="1911" ht="20" customHeight="1"/>
    <row r="1912" ht="20" customHeight="1"/>
    <row r="1913" ht="20" customHeight="1"/>
    <row r="1914" ht="20" customHeight="1"/>
    <row r="1915" ht="20" customHeight="1"/>
    <row r="1916" ht="20" customHeight="1"/>
    <row r="1917" ht="20" customHeight="1"/>
    <row r="1918" ht="20" customHeight="1"/>
    <row r="1919" ht="20" customHeight="1"/>
    <row r="1920" ht="20" customHeight="1"/>
    <row r="1921" ht="20" customHeight="1"/>
    <row r="1922" ht="20" customHeight="1"/>
    <row r="1923" ht="20" customHeight="1"/>
    <row r="1924" ht="20" customHeight="1"/>
    <row r="1925" ht="20" customHeight="1"/>
    <row r="1926" ht="20" customHeight="1"/>
    <row r="1927" ht="20" customHeight="1"/>
    <row r="1928" ht="20" customHeight="1"/>
    <row r="1929" ht="20" customHeight="1"/>
    <row r="1930" ht="20" customHeight="1"/>
    <row r="1931" ht="20" customHeight="1"/>
    <row r="1932" ht="20" customHeight="1"/>
    <row r="1933" ht="20" customHeight="1"/>
    <row r="1934" ht="20" customHeight="1"/>
    <row r="1935" ht="20" customHeight="1"/>
    <row r="1936" ht="20" customHeight="1"/>
    <row r="1937" ht="20" customHeight="1"/>
    <row r="1938" ht="20" customHeight="1"/>
    <row r="1939" ht="20" customHeight="1"/>
    <row r="1940" ht="20" customHeight="1"/>
    <row r="1941" ht="20" customHeight="1"/>
    <row r="1942" ht="20" customHeight="1"/>
    <row r="1943" ht="20" customHeight="1"/>
    <row r="1944" ht="20" customHeight="1"/>
    <row r="1945" ht="20" customHeight="1"/>
    <row r="1946" ht="20" customHeight="1"/>
    <row r="1947" ht="20" customHeight="1"/>
    <row r="1948" ht="20" customHeight="1"/>
    <row r="1949" ht="20" customHeight="1"/>
    <row r="1950" ht="20" customHeight="1"/>
    <row r="1951" ht="20" customHeight="1"/>
    <row r="1952" ht="20" customHeight="1"/>
    <row r="1953" ht="20" customHeight="1"/>
    <row r="1954" ht="20" customHeight="1"/>
    <row r="1955" ht="20" customHeight="1"/>
    <row r="1956" ht="20" customHeight="1"/>
    <row r="1957" ht="20" customHeight="1"/>
    <row r="1958" ht="20" customHeight="1"/>
    <row r="1959" ht="20" customHeight="1"/>
    <row r="1960" ht="20" customHeight="1"/>
    <row r="1961" ht="20" customHeight="1"/>
    <row r="1962" ht="20" customHeight="1"/>
    <row r="1963" ht="20" customHeight="1"/>
    <row r="1964" ht="20" customHeight="1"/>
    <row r="1965" ht="20" customHeight="1"/>
    <row r="1966" ht="20" customHeight="1"/>
    <row r="1967" ht="20" customHeight="1"/>
    <row r="1968" ht="20" customHeight="1"/>
    <row r="1969" ht="20" customHeight="1"/>
    <row r="1970" ht="20" customHeight="1"/>
    <row r="1971" ht="20" customHeight="1"/>
    <row r="1972" ht="20" customHeight="1"/>
    <row r="1973" ht="20" customHeight="1"/>
    <row r="1974" ht="20" customHeight="1"/>
    <row r="1975" ht="20" customHeight="1"/>
    <row r="1976" ht="20" customHeight="1"/>
    <row r="1977" ht="20" customHeight="1"/>
    <row r="1978" ht="20" customHeight="1"/>
    <row r="1979" ht="20" customHeight="1"/>
    <row r="1980" ht="20" customHeight="1"/>
    <row r="1981" ht="20" customHeight="1"/>
    <row r="1982" ht="20" customHeight="1"/>
    <row r="1983" ht="20" customHeight="1"/>
    <row r="1984" ht="20" customHeight="1"/>
    <row r="1985" ht="20" customHeight="1"/>
    <row r="1986" ht="20" customHeight="1"/>
    <row r="1987" ht="20" customHeight="1"/>
    <row r="1988" ht="20" customHeight="1"/>
    <row r="1989" ht="20" customHeight="1"/>
    <row r="1990" ht="20" customHeight="1"/>
  </sheetData>
  <mergeCells count="22"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A2:E2"/>
    <mergeCell ref="F2:H2"/>
    <mergeCell ref="I2:K2"/>
    <mergeCell ref="L2:M2"/>
    <mergeCell ref="I4:L4"/>
    <mergeCell ref="M4:M5"/>
    <mergeCell ref="N4:N5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8"/>
  <sheetViews>
    <sheetView workbookViewId="0">
      <selection activeCell="G54" sqref="G54"/>
    </sheetView>
  </sheetViews>
  <sheetFormatPr baseColWidth="10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5" t="str">
        <f>CONCATENATE(M1," Depressurization Table")</f>
        <v>UT-GOM2-1-H005-4FB-5 Depressurization Table</v>
      </c>
      <c r="B1" s="115"/>
      <c r="C1" s="115"/>
      <c r="D1" s="115"/>
      <c r="E1" s="115"/>
      <c r="F1" s="115"/>
      <c r="G1" s="115"/>
      <c r="H1" s="115"/>
      <c r="I1" s="115"/>
      <c r="M1" s="22" t="s">
        <v>51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28" ca="1" si="0">INDIRECT(CONCATENATE("'",$M$1,"'!A",ROW()+2))</f>
        <v>1</v>
      </c>
      <c r="B4" s="18">
        <f t="shared" ref="B4:B28" ca="1" si="1">INDIRECT(CONCATENATE("'",$M$1,"'!D",ROW()+2))/10</f>
        <v>20.399999999999999</v>
      </c>
      <c r="C4" s="18">
        <f t="shared" ref="C4:C28" ca="1" si="2">INDIRECT(CONCATENATE("'",$M$1,"'!E",ROW()+2))/10</f>
        <v>20.399999999999999</v>
      </c>
      <c r="D4" s="19">
        <f ca="1">(INDIRECT(CONCATENATE("'",$M$1,"'!R",ROW()+2))+INDIRECT(CONCATENATE("'",$M$1,"'!T",ROW()+2)))/1000</f>
        <v>4.2156612858403495</v>
      </c>
      <c r="E4" s="18">
        <f ca="1">INDIRECT(CONCATENATE("'",$M$1,"'!t",ROW()+2))</f>
        <v>93.661285840349862</v>
      </c>
      <c r="F4" s="68" t="str">
        <f ca="1">IF(INDIRECT(CONCATENATE("'",$M$1,"'!m",ROW()+2))="","",INDIRECT(CONCATENATE("'",$M$1,"'!m",ROW()+2)))</f>
        <v/>
      </c>
      <c r="G4" s="19">
        <f t="shared" ref="G4:G28" ca="1" si="3">INDIRECT(CONCATENATE("'",$M$1,"'!x",ROW()+2))</f>
        <v>0</v>
      </c>
      <c r="H4" s="20">
        <f ca="1">D4/MAX(D4:D26)</f>
        <v>4.3471889885758501E-2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20.399999999999999</v>
      </c>
      <c r="C5" s="18">
        <f t="shared" ca="1" si="2"/>
        <v>15</v>
      </c>
      <c r="D5" s="19">
        <f t="shared" ref="D5:D28" ca="1" si="4">D4+(INDIRECT(CONCATENATE("'",$M$1,"'!R",ROW()+2))+INDIRECT(CONCATENATE("'",$M$1,"'!T",ROW()+2)))/1000</f>
        <v>8.431322571680699</v>
      </c>
      <c r="E5" s="18">
        <f t="shared" ref="E5:E28" ca="1" si="5">INDIRECT(CONCATENATE("'",$M$1,"'!t",ROW()+2))</f>
        <v>93.661285840349862</v>
      </c>
      <c r="F5" s="68" t="str">
        <f t="shared" ref="F5:F28" ca="1" si="6">IF(INDIRECT(CONCATENATE("'",$M$1,"'!m",ROW()+2))="","",INDIRECT(CONCATENATE("'",$M$1,"'!m",ROW()+2)))</f>
        <v/>
      </c>
      <c r="G5" s="19">
        <f t="shared" ca="1" si="3"/>
        <v>2.3586667855247253E-3</v>
      </c>
      <c r="H5" s="20">
        <f ca="1">D5/MAX(D5:D27)</f>
        <v>8.3319379071221125E-2</v>
      </c>
      <c r="I5" s="19">
        <f t="shared" ref="I5:I28" ca="1" si="7">INDIRECT(CONCATENATE("'",$M$1,"'!y",ROW()+2))</f>
        <v>1.736945809734195</v>
      </c>
      <c r="J5" s="21"/>
    </row>
    <row r="6" spans="1:21">
      <c r="A6" s="17">
        <f t="shared" ca="1" si="0"/>
        <v>3</v>
      </c>
      <c r="B6" s="18">
        <f t="shared" ca="1" si="1"/>
        <v>15.1</v>
      </c>
      <c r="C6" s="18">
        <f t="shared" ca="1" si="2"/>
        <v>12.5</v>
      </c>
      <c r="D6" s="19">
        <f t="shared" ca="1" si="4"/>
        <v>12.646983857521048</v>
      </c>
      <c r="E6" s="18">
        <f t="shared" ca="1" si="5"/>
        <v>93.661285840349862</v>
      </c>
      <c r="F6" s="68" t="str">
        <f t="shared" ca="1" si="6"/>
        <v/>
      </c>
      <c r="G6" s="19">
        <f t="shared" ca="1" si="3"/>
        <v>3.5187173641519302E-3</v>
      </c>
      <c r="H6" s="20">
        <f ca="1">D6/MAX(D6:D28)</f>
        <v>0.11997759655095989</v>
      </c>
      <c r="I6" s="19">
        <f t="shared" ca="1" si="7"/>
        <v>2.1600645052844443</v>
      </c>
      <c r="J6" s="21"/>
    </row>
    <row r="7" spans="1:21">
      <c r="A7" s="17">
        <f t="shared" ca="1" si="0"/>
        <v>4</v>
      </c>
      <c r="B7" s="18">
        <f t="shared" ca="1" si="1"/>
        <v>12.5</v>
      </c>
      <c r="C7" s="18">
        <f t="shared" ca="1" si="2"/>
        <v>9.8000000000000007</v>
      </c>
      <c r="D7" s="19">
        <f t="shared" ca="1" si="4"/>
        <v>16.862645143361398</v>
      </c>
      <c r="E7" s="18">
        <f t="shared" ca="1" si="5"/>
        <v>93.661285840349862</v>
      </c>
      <c r="F7" s="68" t="str">
        <f t="shared" ca="1" si="6"/>
        <v/>
      </c>
      <c r="G7" s="19">
        <f t="shared" ca="1" si="3"/>
        <v>5.4200039163304192E-3</v>
      </c>
      <c r="H7" s="20">
        <f ca="1">D7/MAX(D7:D28)</f>
        <v>0.15997012873461319</v>
      </c>
      <c r="I7" s="19">
        <f t="shared" ca="1" si="7"/>
        <v>2.0808435503756284</v>
      </c>
      <c r="J7" s="21"/>
    </row>
    <row r="8" spans="1:21">
      <c r="A8" s="17">
        <f t="shared" ca="1" si="0"/>
        <v>5</v>
      </c>
      <c r="B8" s="18">
        <f t="shared" ca="1" si="1"/>
        <v>9.9</v>
      </c>
      <c r="C8" s="18">
        <f t="shared" ca="1" si="2"/>
        <v>8</v>
      </c>
      <c r="D8" s="19">
        <f t="shared" ca="1" si="4"/>
        <v>21.078306429201746</v>
      </c>
      <c r="E8" s="18">
        <f t="shared" ca="1" si="5"/>
        <v>93.661285840349862</v>
      </c>
      <c r="F8" s="68" t="str">
        <f t="shared" ca="1" si="6"/>
        <v/>
      </c>
      <c r="G8" s="19">
        <f t="shared" ca="1" si="3"/>
        <v>7.2289698117830471E-3</v>
      </c>
      <c r="H8" s="20">
        <f ca="1">D8/MAX(D8:D28)</f>
        <v>0.19996266091826648</v>
      </c>
      <c r="I8" s="19">
        <f t="shared" ca="1" si="7"/>
        <v>1.856724455314759</v>
      </c>
      <c r="J8" s="21"/>
    </row>
    <row r="9" spans="1:21">
      <c r="A9" s="17">
        <f t="shared" ca="1" si="0"/>
        <v>6</v>
      </c>
      <c r="B9" s="18">
        <f t="shared" ca="1" si="1"/>
        <v>8</v>
      </c>
      <c r="C9" s="18">
        <f t="shared" ca="1" si="2"/>
        <v>6.9</v>
      </c>
      <c r="D9" s="19">
        <f t="shared" ca="1" si="4"/>
        <v>25.293967715042093</v>
      </c>
      <c r="E9" s="18">
        <f t="shared" ca="1" si="5"/>
        <v>93.661285840349862</v>
      </c>
      <c r="F9" s="68" t="str">
        <f t="shared" ca="1" si="6"/>
        <v/>
      </c>
      <c r="G9" s="19">
        <f t="shared" ca="1" si="3"/>
        <v>8.6200987284068709E-3</v>
      </c>
      <c r="H9" s="20">
        <f ca="1">D9/MAX(D9:D28)</f>
        <v>0.23995519310191976</v>
      </c>
      <c r="I9" s="19">
        <f t="shared" ca="1" si="7"/>
        <v>1.6948877169751038</v>
      </c>
      <c r="J9" s="21"/>
    </row>
    <row r="10" spans="1:21">
      <c r="A10" s="17">
        <f t="shared" ca="1" si="0"/>
        <v>7</v>
      </c>
      <c r="B10" s="18">
        <f t="shared" ca="1" si="1"/>
        <v>6.9</v>
      </c>
      <c r="C10" s="18">
        <f t="shared" ca="1" si="2"/>
        <v>6</v>
      </c>
      <c r="D10" s="19">
        <f t="shared" ca="1" si="4"/>
        <v>29.509629000882441</v>
      </c>
      <c r="E10" s="18">
        <f t="shared" ca="1" si="5"/>
        <v>93.661285840349862</v>
      </c>
      <c r="F10" s="68" t="str">
        <f t="shared" ca="1" si="6"/>
        <v/>
      </c>
      <c r="G10" s="19">
        <f t="shared" ca="1" si="3"/>
        <v>9.9552150353529132E-3</v>
      </c>
      <c r="H10" s="20">
        <f ca="1">D10/MAX(D10:D28)</f>
        <v>0.27994772528557305</v>
      </c>
      <c r="I10" s="19">
        <f t="shared" ca="1" si="7"/>
        <v>1.5355894744247465</v>
      </c>
      <c r="J10" s="21"/>
    </row>
    <row r="11" spans="1:21">
      <c r="A11" s="17">
        <f t="shared" ca="1" si="0"/>
        <v>8</v>
      </c>
      <c r="B11" s="18">
        <f t="shared" ca="1" si="1"/>
        <v>6.1</v>
      </c>
      <c r="C11" s="18">
        <f t="shared" ca="1" si="2"/>
        <v>5.4</v>
      </c>
      <c r="D11" s="19">
        <f t="shared" ca="1" si="4"/>
        <v>33.725290286722789</v>
      </c>
      <c r="E11" s="18">
        <f t="shared" ca="1" si="5"/>
        <v>93.661285840349862</v>
      </c>
      <c r="F11" s="68" t="str">
        <f t="shared" ca="1" si="6"/>
        <v/>
      </c>
      <c r="G11" s="19">
        <f t="shared" ca="1" si="3"/>
        <v>1.0958293184173858E-2</v>
      </c>
      <c r="H11" s="20">
        <f t="shared" ref="H11:H28" ca="1" si="8">D11/MAX(D11:D28)</f>
        <v>0.31994025746922633</v>
      </c>
      <c r="I11" s="19">
        <f t="shared" ca="1" si="7"/>
        <v>1.4512125667150686</v>
      </c>
      <c r="J11" s="21"/>
    </row>
    <row r="12" spans="1:21">
      <c r="A12" s="17">
        <f t="shared" ca="1" si="0"/>
        <v>9</v>
      </c>
      <c r="B12" s="18">
        <f t="shared" ca="1" si="1"/>
        <v>6</v>
      </c>
      <c r="C12" s="18">
        <f t="shared" ca="1" si="2"/>
        <v>5.3</v>
      </c>
      <c r="D12" s="19">
        <f t="shared" ca="1" si="4"/>
        <v>37.940951572563137</v>
      </c>
      <c r="E12" s="18">
        <f t="shared" ca="1" si="5"/>
        <v>93.661285840349862</v>
      </c>
      <c r="F12" s="68" t="str">
        <f t="shared" ca="1" si="6"/>
        <v/>
      </c>
      <c r="G12" s="19">
        <f t="shared" ca="1" si="3"/>
        <v>1.1135036047529152E-2</v>
      </c>
      <c r="H12" s="20">
        <f t="shared" ca="1" si="8"/>
        <v>0.35993278965287961</v>
      </c>
      <c r="I12" s="19">
        <f t="shared" ca="1" si="7"/>
        <v>1.563705021084256</v>
      </c>
      <c r="J12" s="21"/>
    </row>
    <row r="13" spans="1:21">
      <c r="A13" s="17">
        <f t="shared" ca="1" si="0"/>
        <v>10</v>
      </c>
      <c r="B13" s="18">
        <f t="shared" ca="1" si="1"/>
        <v>5.9</v>
      </c>
      <c r="C13" s="18">
        <f t="shared" ca="1" si="2"/>
        <v>5.0999999999999996</v>
      </c>
      <c r="D13" s="19">
        <f t="shared" ca="1" si="4"/>
        <v>42.156612858403484</v>
      </c>
      <c r="E13" s="18">
        <f t="shared" ca="1" si="5"/>
        <v>93.661285840349862</v>
      </c>
      <c r="F13" s="68" t="str">
        <f t="shared" ca="1" si="6"/>
        <v/>
      </c>
      <c r="G13" s="19">
        <f t="shared" ca="1" si="3"/>
        <v>1.1497119641277365E-2</v>
      </c>
      <c r="H13" s="20">
        <f t="shared" ca="1" si="8"/>
        <v>0.3999253218365329</v>
      </c>
      <c r="I13" s="19">
        <f t="shared" ca="1" si="7"/>
        <v>1.5916547640249812</v>
      </c>
      <c r="J13" s="21"/>
    </row>
    <row r="14" spans="1:21">
      <c r="A14" s="17">
        <f t="shared" ca="1" si="0"/>
        <v>11</v>
      </c>
      <c r="B14" s="18">
        <f t="shared" ca="1" si="1"/>
        <v>5.7</v>
      </c>
      <c r="C14" s="18">
        <f t="shared" ca="1" si="2"/>
        <v>5</v>
      </c>
      <c r="D14" s="19">
        <f t="shared" ca="1" si="4"/>
        <v>46.372274144243832</v>
      </c>
      <c r="E14" s="18">
        <f t="shared" ca="1" si="5"/>
        <v>93.661285840349862</v>
      </c>
      <c r="F14" s="68" t="str">
        <f t="shared" ca="1" si="6"/>
        <v/>
      </c>
      <c r="G14" s="19">
        <f t="shared" ca="1" si="3"/>
        <v>1.168255306704776E-2</v>
      </c>
      <c r="H14" s="20">
        <f t="shared" ca="1" si="8"/>
        <v>0.43991785402018618</v>
      </c>
      <c r="I14" s="19">
        <f t="shared" ca="1" si="7"/>
        <v>1.7084658836104742</v>
      </c>
      <c r="J14" s="21"/>
    </row>
    <row r="15" spans="1:21">
      <c r="A15" s="17">
        <f t="shared" ca="1" si="0"/>
        <v>12</v>
      </c>
      <c r="B15" s="18">
        <f t="shared" ca="1" si="1"/>
        <v>5.5</v>
      </c>
      <c r="C15" s="18">
        <f t="shared" ca="1" si="2"/>
        <v>4.7</v>
      </c>
      <c r="D15" s="19">
        <f t="shared" ca="1" si="4"/>
        <v>50.58793543008418</v>
      </c>
      <c r="E15" s="18">
        <f t="shared" ca="1" si="5"/>
        <v>93.661285840349862</v>
      </c>
      <c r="F15" s="68" t="str">
        <f t="shared" ca="1" si="6"/>
        <v/>
      </c>
      <c r="G15" s="19">
        <f t="shared" ca="1" si="3"/>
        <v>1.2256991857217403E-2</v>
      </c>
      <c r="H15" s="20">
        <f t="shared" ca="1" si="8"/>
        <v>0.47991038620383947</v>
      </c>
      <c r="I15" s="19">
        <f t="shared" ca="1" si="7"/>
        <v>1.7220095844623591</v>
      </c>
      <c r="J15" s="21"/>
    </row>
    <row r="16" spans="1:21">
      <c r="A16" s="17">
        <f t="shared" ca="1" si="0"/>
        <v>13</v>
      </c>
      <c r="B16" s="18">
        <f t="shared" ca="1" si="1"/>
        <v>5.4</v>
      </c>
      <c r="C16" s="18">
        <f t="shared" ca="1" si="2"/>
        <v>4.5999999999999996</v>
      </c>
      <c r="D16" s="19">
        <f t="shared" ca="1" si="4"/>
        <v>54.803596715924527</v>
      </c>
      <c r="E16" s="18">
        <f t="shared" ca="1" si="5"/>
        <v>93.661285840349862</v>
      </c>
      <c r="F16" s="68" t="str">
        <f t="shared" ca="1" si="6"/>
        <v/>
      </c>
      <c r="G16" s="19">
        <f t="shared" ca="1" si="3"/>
        <v>1.2454681022907529E-2</v>
      </c>
      <c r="H16" s="20">
        <f t="shared" ca="1" si="8"/>
        <v>0.5199029183874927</v>
      </c>
      <c r="I16" s="19">
        <f t="shared" ca="1" si="7"/>
        <v>1.830549669589379</v>
      </c>
      <c r="J16" s="21"/>
    </row>
    <row r="17" spans="1:10">
      <c r="A17" s="17">
        <f t="shared" ca="1" si="0"/>
        <v>14</v>
      </c>
      <c r="B17" s="18">
        <f t="shared" ca="1" si="1"/>
        <v>5.2</v>
      </c>
      <c r="C17" s="18">
        <f t="shared" ca="1" si="2"/>
        <v>4.4000000000000004</v>
      </c>
      <c r="D17" s="19">
        <f t="shared" ca="1" si="4"/>
        <v>59.019258001764875</v>
      </c>
      <c r="E17" s="18">
        <f t="shared" ca="1" si="5"/>
        <v>93.661285840349862</v>
      </c>
      <c r="F17" s="68" t="str">
        <f t="shared" ca="1" si="6"/>
        <v/>
      </c>
      <c r="G17" s="19">
        <f t="shared" ca="1" si="3"/>
        <v>1.2859676179143482E-2</v>
      </c>
      <c r="H17" s="20">
        <f t="shared" ca="1" si="8"/>
        <v>0.55989545057114598</v>
      </c>
      <c r="I17" s="19">
        <f t="shared" ca="1" si="7"/>
        <v>1.9898511317138392</v>
      </c>
      <c r="J17" s="21"/>
    </row>
    <row r="18" spans="1:10">
      <c r="A18" s="17">
        <f t="shared" ca="1" si="0"/>
        <v>15</v>
      </c>
      <c r="B18" s="18">
        <f t="shared" ca="1" si="1"/>
        <v>5.3</v>
      </c>
      <c r="C18" s="18">
        <f t="shared" ca="1" si="2"/>
        <v>4.4000000000000004</v>
      </c>
      <c r="D18" s="19">
        <f t="shared" ca="1" si="4"/>
        <v>63.234919287605223</v>
      </c>
      <c r="E18" s="18">
        <f t="shared" ca="1" si="5"/>
        <v>93.661285840349862</v>
      </c>
      <c r="F18" s="68" t="str">
        <f t="shared" ca="1" si="6"/>
        <v/>
      </c>
      <c r="G18" s="19">
        <f t="shared" ca="1" si="3"/>
        <v>1.2859676179143482E-2</v>
      </c>
      <c r="H18" s="20">
        <f t="shared" ca="1" si="8"/>
        <v>0.59988798275479926</v>
      </c>
      <c r="I18" s="19">
        <f t="shared" ca="1" si="7"/>
        <v>2.2930682635845945</v>
      </c>
      <c r="J18" s="21"/>
    </row>
    <row r="19" spans="1:10">
      <c r="A19" s="17">
        <f t="shared" ca="1" si="0"/>
        <v>16</v>
      </c>
      <c r="B19" s="18">
        <f t="shared" ca="1" si="1"/>
        <v>5</v>
      </c>
      <c r="C19" s="18">
        <f t="shared" ca="1" si="2"/>
        <v>4</v>
      </c>
      <c r="D19" s="19">
        <f t="shared" ca="1" si="4"/>
        <v>67.450580573445578</v>
      </c>
      <c r="E19" s="18">
        <f t="shared" ca="1" si="5"/>
        <v>93.661285840349862</v>
      </c>
      <c r="F19" s="68" t="str">
        <f t="shared" ca="1" si="6"/>
        <v/>
      </c>
      <c r="G19" s="19">
        <f t="shared" ca="1" si="3"/>
        <v>1.3709603025119262E-2</v>
      </c>
      <c r="H19" s="20">
        <f t="shared" ca="1" si="8"/>
        <v>0.63988051493845266</v>
      </c>
      <c r="I19" s="19">
        <f t="shared" ca="1" si="7"/>
        <v>2.3933017345639063</v>
      </c>
      <c r="J19" s="21"/>
    </row>
    <row r="20" spans="1:10">
      <c r="A20" s="17">
        <f t="shared" ca="1" si="0"/>
        <v>17</v>
      </c>
      <c r="B20" s="18">
        <f t="shared" ca="1" si="1"/>
        <v>4.7</v>
      </c>
      <c r="C20" s="18">
        <f t="shared" ca="1" si="2"/>
        <v>3.8</v>
      </c>
      <c r="D20" s="19">
        <f t="shared" ca="1" si="4"/>
        <v>71.666241859285932</v>
      </c>
      <c r="E20" s="18">
        <f t="shared" ca="1" si="5"/>
        <v>93.661285840349862</v>
      </c>
      <c r="F20" s="68" t="str">
        <f t="shared" ca="1" si="6"/>
        <v/>
      </c>
      <c r="G20" s="19">
        <f t="shared" ca="1" si="3"/>
        <v>1.4155405114219644E-2</v>
      </c>
      <c r="H20" s="20">
        <f t="shared" ca="1" si="8"/>
        <v>0.67987304712210606</v>
      </c>
      <c r="I20" s="19">
        <f t="shared" ca="1" si="7"/>
        <v>2.8941922129649424</v>
      </c>
    </row>
    <row r="21" spans="1:10">
      <c r="A21" s="17">
        <f t="shared" ca="1" si="0"/>
        <v>18</v>
      </c>
      <c r="B21" s="18">
        <f t="shared" ca="1" si="1"/>
        <v>4.3</v>
      </c>
      <c r="C21" s="18">
        <f t="shared" ca="1" si="2"/>
        <v>3.1</v>
      </c>
      <c r="D21" s="19">
        <f t="shared" ca="1" si="4"/>
        <v>75.881903145126287</v>
      </c>
      <c r="E21" s="18">
        <f t="shared" ca="1" si="5"/>
        <v>93.661285840349862</v>
      </c>
      <c r="F21" s="68" t="str">
        <f t="shared" ca="1" si="6"/>
        <v/>
      </c>
      <c r="G21" s="19">
        <f t="shared" ca="1" si="3"/>
        <v>1.5833002667895318E-2</v>
      </c>
      <c r="H21" s="20">
        <f t="shared" ca="1" si="8"/>
        <v>0.71986557930575934</v>
      </c>
      <c r="I21" s="19">
        <f t="shared" ca="1" si="7"/>
        <v>3.4162320972338525</v>
      </c>
    </row>
    <row r="22" spans="1:10">
      <c r="A22" s="17">
        <f t="shared" ca="1" si="0"/>
        <v>19</v>
      </c>
      <c r="B22" s="18">
        <f t="shared" ca="1" si="1"/>
        <v>4</v>
      </c>
      <c r="C22" s="18">
        <f t="shared" ca="1" si="2"/>
        <v>2.7</v>
      </c>
      <c r="D22" s="19">
        <f t="shared" ca="1" si="4"/>
        <v>80.097564430966642</v>
      </c>
      <c r="E22" s="18">
        <f t="shared" ca="1" si="5"/>
        <v>93.661285840349862</v>
      </c>
      <c r="F22" s="68" t="str">
        <f t="shared" ca="1" si="6"/>
        <v>7Y</v>
      </c>
      <c r="G22" s="19">
        <f t="shared" ca="1" si="3"/>
        <v>1.6879443793813832E-2</v>
      </c>
      <c r="H22" s="20">
        <f t="shared" ca="1" si="8"/>
        <v>0.75985811148941274</v>
      </c>
      <c r="I22" s="19">
        <f t="shared" ca="1" si="7"/>
        <v>4.2027752313276583</v>
      </c>
    </row>
    <row r="23" spans="1:10">
      <c r="A23" s="17">
        <f t="shared" ca="1" si="0"/>
        <v>20</v>
      </c>
      <c r="B23" s="18">
        <f t="shared" ca="1" si="1"/>
        <v>3.7</v>
      </c>
      <c r="C23" s="18">
        <f t="shared" ca="1" si="2"/>
        <v>2.7</v>
      </c>
      <c r="D23" s="19">
        <f t="shared" ca="1" si="4"/>
        <v>84.316583685501854</v>
      </c>
      <c r="E23" s="18">
        <f t="shared" ca="1" si="5"/>
        <v>97.019254535205548</v>
      </c>
      <c r="F23" s="68" t="str">
        <f t="shared" ca="1" si="6"/>
        <v>8Y</v>
      </c>
      <c r="G23" s="19">
        <f t="shared" ca="1" si="3"/>
        <v>1.6879443793813832E-2</v>
      </c>
      <c r="H23" s="20">
        <f t="shared" ca="1" si="8"/>
        <v>0.79988249956992186</v>
      </c>
      <c r="I23" s="19">
        <f t="shared" ca="1" si="7"/>
        <v>5.0408718753885502</v>
      </c>
    </row>
    <row r="24" spans="1:10">
      <c r="A24" s="17">
        <f t="shared" ca="1" si="0"/>
        <v>21</v>
      </c>
      <c r="B24" s="18">
        <f t="shared" ca="1" si="1"/>
        <v>2.9</v>
      </c>
      <c r="C24" s="18">
        <f t="shared" ca="1" si="2"/>
        <v>1.5</v>
      </c>
      <c r="D24" s="19">
        <f t="shared" ca="1" si="4"/>
        <v>88.536383567561813</v>
      </c>
      <c r="E24" s="18">
        <f t="shared" ca="1" si="5"/>
        <v>97.799882059954484</v>
      </c>
      <c r="F24" s="68" t="str">
        <f t="shared" ca="1" si="6"/>
        <v>9Y</v>
      </c>
      <c r="G24" s="19">
        <f t="shared" ca="1" si="3"/>
        <v>2.045232438773039E-2</v>
      </c>
      <c r="H24" s="20">
        <f t="shared" ca="1" si="8"/>
        <v>0.83991429319591726</v>
      </c>
      <c r="I24" s="19">
        <f t="shared" ca="1" si="7"/>
        <v>3.3054329572853036</v>
      </c>
    </row>
    <row r="25" spans="1:10">
      <c r="A25" s="17">
        <f t="shared" ca="1" si="0"/>
        <v>22</v>
      </c>
      <c r="B25" s="18">
        <f t="shared" ca="1" si="1"/>
        <v>1.6</v>
      </c>
      <c r="C25" s="18">
        <f t="shared" ca="1" si="2"/>
        <v>0.7</v>
      </c>
      <c r="D25" s="19">
        <f t="shared" ca="1" si="4"/>
        <v>92.756023268582837</v>
      </c>
      <c r="E25" s="18">
        <f t="shared" ca="1" si="5"/>
        <v>97.63970102102931</v>
      </c>
      <c r="F25" s="68" t="str">
        <f t="shared" ca="1" si="6"/>
        <v>10Y</v>
      </c>
      <c r="G25" s="19">
        <f t="shared" ca="1" si="3"/>
        <v>2.3245150695009285E-2</v>
      </c>
      <c r="H25" s="20">
        <f t="shared" ca="1" si="8"/>
        <v>0.87994456723935599</v>
      </c>
      <c r="I25" s="19">
        <f t="shared" ca="1" si="7"/>
        <v>1.9139482472533793</v>
      </c>
    </row>
    <row r="26" spans="1:10">
      <c r="A26" s="17">
        <f t="shared" ca="1" si="0"/>
        <v>23</v>
      </c>
      <c r="B26" s="18">
        <f t="shared" ca="1" si="1"/>
        <v>0.7</v>
      </c>
      <c r="C26" s="18">
        <f t="shared" ca="1" si="2"/>
        <v>0</v>
      </c>
      <c r="D26" s="19">
        <f t="shared" ca="1" si="4"/>
        <v>96.974419490821603</v>
      </c>
      <c r="E26" s="18">
        <f t="shared" ca="1" si="5"/>
        <v>96.396222238761382</v>
      </c>
      <c r="F26" s="68" t="str">
        <f t="shared" ca="1" si="6"/>
        <v>11Y</v>
      </c>
      <c r="G26" s="19">
        <f t="shared" ca="1" si="3"/>
        <v>2.5999999999999999E-2</v>
      </c>
      <c r="H26" s="20">
        <f t="shared" ca="1" si="8"/>
        <v>0.91996304482623736</v>
      </c>
      <c r="I26" s="19">
        <f t="shared" ca="1" si="7"/>
        <v>0.29242334706222278</v>
      </c>
    </row>
    <row r="27" spans="1:10">
      <c r="A27" s="17">
        <f t="shared" ca="1" si="0"/>
        <v>24</v>
      </c>
      <c r="B27" s="18">
        <f t="shared" ca="1" si="1"/>
        <v>0.1</v>
      </c>
      <c r="C27" s="18">
        <f t="shared" ca="1" si="2"/>
        <v>0</v>
      </c>
      <c r="D27" s="19">
        <f t="shared" ca="1" si="4"/>
        <v>101.19281571306037</v>
      </c>
      <c r="E27" s="18">
        <f t="shared" ca="1" si="5"/>
        <v>96.396222238761382</v>
      </c>
      <c r="F27" s="68" t="str">
        <f t="shared" ca="1" si="6"/>
        <v/>
      </c>
      <c r="G27" s="19">
        <f t="shared" ca="1" si="3"/>
        <v>2.5999999999999999E-2</v>
      </c>
      <c r="H27" s="20">
        <f t="shared" ca="1" si="8"/>
        <v>0.95998152241311863</v>
      </c>
      <c r="I27" s="19">
        <f t="shared" ca="1" si="7"/>
        <v>0.31560672036257242</v>
      </c>
    </row>
    <row r="28" spans="1:10">
      <c r="A28" s="17">
        <f t="shared" ca="1" si="0"/>
        <v>25</v>
      </c>
      <c r="B28" s="18">
        <f t="shared" ca="1" si="1"/>
        <v>0</v>
      </c>
      <c r="C28" s="18">
        <f t="shared" ca="1" si="2"/>
        <v>0</v>
      </c>
      <c r="D28" s="19">
        <f t="shared" ca="1" si="4"/>
        <v>105.41121193529914</v>
      </c>
      <c r="E28" s="18">
        <f t="shared" ca="1" si="5"/>
        <v>96.396222238761382</v>
      </c>
      <c r="F28" s="68" t="str">
        <f t="shared" ca="1" si="6"/>
        <v/>
      </c>
      <c r="G28" s="19">
        <f t="shared" ca="1" si="3"/>
        <v>2.5999999999999999E-2</v>
      </c>
      <c r="H28" s="20">
        <f t="shared" ca="1" si="8"/>
        <v>1</v>
      </c>
      <c r="I28" s="19">
        <f t="shared" ca="1" si="7"/>
        <v>0.32122583111086755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52" sqref="H52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7526F163-A087-4709-B7EB-F57A0E3C6674}"/>
</file>

<file path=customXml/itemProps2.xml><?xml version="1.0" encoding="utf-8"?>
<ds:datastoreItem xmlns:ds="http://schemas.openxmlformats.org/officeDocument/2006/customXml" ds:itemID="{87FACC35-491B-460B-9CF1-7D630FEE28B2}"/>
</file>

<file path=customXml/itemProps3.xml><?xml version="1.0" encoding="utf-8"?>
<ds:datastoreItem xmlns:ds="http://schemas.openxmlformats.org/officeDocument/2006/customXml" ds:itemID="{96393B23-DCD7-46E2-AEC0-245FAC7506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UT-GOM2-1-H005-4FB-5</vt:lpstr>
      <vt:lpstr>UT-GOM2-1-H005-4FB-5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