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date1904="1" showInkAnnotation="0" codeName="ThisWorkbook" autoCompressPictures="0"/>
  <bookViews>
    <workbookView xWindow="11200" yWindow="5060" windowWidth="26660" windowHeight="16480" tabRatio="623" activeTab="2"/>
  </bookViews>
  <sheets>
    <sheet name="UT-GOM2-1-H005-4FB-3" sheetId="27" r:id="rId1"/>
    <sheet name="UT-GOM2-1-H005-4FB-3 table" sheetId="30" r:id="rId2"/>
    <sheet name="graph" sheetId="31" r:id="rId3"/>
  </sheets>
  <definedNames>
    <definedName name="_xlnm.Print_Area" localSheetId="0">'UT-GOM2-1-H005-4FB-3'!#REF!</definedName>
    <definedName name="_xlnm.Print_Area" localSheetId="1">'UT-GOM2-1-H005-4FB-3 table'!$A$1:$I$19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8" i="27" l="1"/>
  <c r="Y8" i="27"/>
  <c r="X9" i="27"/>
  <c r="Y9" i="27"/>
  <c r="X10" i="27"/>
  <c r="Y10" i="27"/>
  <c r="X11" i="27"/>
  <c r="Y11" i="27"/>
  <c r="X12" i="27"/>
  <c r="Y12" i="27"/>
  <c r="X13" i="27"/>
  <c r="Y13" i="27"/>
  <c r="X14" i="27"/>
  <c r="Y14" i="27"/>
  <c r="X15" i="27"/>
  <c r="Y15" i="27"/>
  <c r="X16" i="27"/>
  <c r="Y16" i="27"/>
  <c r="X17" i="27"/>
  <c r="Y17" i="27"/>
  <c r="X18" i="27"/>
  <c r="Y18" i="27"/>
  <c r="X19" i="27"/>
  <c r="Y19" i="27"/>
  <c r="X20" i="27"/>
  <c r="Y20" i="27"/>
  <c r="X21" i="27"/>
  <c r="Y21" i="27"/>
  <c r="X22" i="27"/>
  <c r="Y22" i="27"/>
  <c r="X23" i="27"/>
  <c r="Y23" i="27"/>
  <c r="X24" i="27"/>
  <c r="Y24" i="27"/>
  <c r="X25" i="27"/>
  <c r="Y25" i="27"/>
  <c r="X26" i="27"/>
  <c r="Y26" i="27"/>
  <c r="X27" i="27"/>
  <c r="Y27" i="27"/>
  <c r="X28" i="27"/>
  <c r="Y28" i="27"/>
  <c r="X29" i="27"/>
  <c r="Y29" i="27"/>
  <c r="X30" i="27"/>
  <c r="Y30" i="27"/>
  <c r="X7" i="27"/>
  <c r="Y7" i="27"/>
  <c r="T24" i="27"/>
  <c r="T23" i="27"/>
  <c r="T22" i="27"/>
  <c r="T21" i="27"/>
  <c r="T20" i="27"/>
  <c r="T19" i="27"/>
  <c r="T18" i="27"/>
  <c r="T17" i="27"/>
  <c r="T16" i="27"/>
  <c r="T15" i="27"/>
  <c r="T14" i="27"/>
  <c r="T13" i="27"/>
  <c r="T12" i="27"/>
  <c r="T11" i="27"/>
  <c r="T10" i="27"/>
  <c r="T9" i="27"/>
  <c r="T8" i="27"/>
  <c r="T7" i="27"/>
  <c r="T6" i="27"/>
  <c r="T25" i="27"/>
  <c r="T27" i="27"/>
  <c r="T28" i="27"/>
  <c r="O30" i="27"/>
  <c r="Q30" i="27"/>
  <c r="S30" i="27"/>
  <c r="AB30" i="27"/>
  <c r="O29" i="27"/>
  <c r="Q29" i="27"/>
  <c r="S29" i="27"/>
  <c r="AB29" i="27"/>
  <c r="AB7" i="27"/>
  <c r="AB8" i="27"/>
  <c r="AB9" i="27"/>
  <c r="AB10" i="27"/>
  <c r="AB11" i="27"/>
  <c r="AB12" i="27"/>
  <c r="AB13" i="27"/>
  <c r="AB14" i="27"/>
  <c r="AB15" i="27"/>
  <c r="AB16" i="27"/>
  <c r="AB17" i="27"/>
  <c r="AB18" i="27"/>
  <c r="AB19" i="27"/>
  <c r="AB20" i="27"/>
  <c r="AB21" i="27"/>
  <c r="AB22" i="27"/>
  <c r="AB23" i="27"/>
  <c r="AB24" i="27"/>
  <c r="AB25" i="27"/>
  <c r="AB26" i="27"/>
  <c r="AB27" i="27"/>
  <c r="AB28" i="27"/>
  <c r="AB6" i="27"/>
  <c r="N2" i="27"/>
  <c r="R12" i="27"/>
  <c r="R6" i="27"/>
  <c r="R7" i="27"/>
  <c r="R8" i="27"/>
  <c r="R9" i="27"/>
  <c r="R10" i="27"/>
  <c r="R14" i="27"/>
  <c r="R15" i="27"/>
  <c r="R18" i="27"/>
  <c r="R19" i="27"/>
  <c r="R20" i="27"/>
  <c r="R25" i="27"/>
  <c r="R26" i="27"/>
  <c r="R27" i="27"/>
  <c r="W6" i="27"/>
  <c r="Y6" i="27"/>
  <c r="A7" i="27"/>
  <c r="A8" i="27"/>
  <c r="A9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O19" i="27"/>
  <c r="O7" i="27"/>
  <c r="P7" i="27"/>
  <c r="O8" i="27"/>
  <c r="O9" i="27"/>
  <c r="O10" i="27"/>
  <c r="O11" i="27"/>
  <c r="O12" i="27"/>
  <c r="O13" i="27"/>
  <c r="O14" i="27"/>
  <c r="O15" i="27"/>
  <c r="O16" i="27"/>
  <c r="O17" i="27"/>
  <c r="O18" i="27"/>
  <c r="O20" i="27"/>
  <c r="O21" i="27"/>
  <c r="O22" i="27"/>
  <c r="O23" i="27"/>
  <c r="O24" i="27"/>
  <c r="O25" i="27"/>
  <c r="O26" i="27"/>
  <c r="O27" i="27"/>
  <c r="O28" i="27"/>
  <c r="S6" i="27"/>
  <c r="Q6" i="27"/>
  <c r="S7" i="27"/>
  <c r="Q7" i="27"/>
  <c r="S8" i="27"/>
  <c r="Q8" i="27"/>
  <c r="S9" i="27"/>
  <c r="Q9" i="27"/>
  <c r="S10" i="27"/>
  <c r="Q10" i="27"/>
  <c r="S11" i="27"/>
  <c r="Q11" i="27"/>
  <c r="S12" i="27"/>
  <c r="Q12" i="27"/>
  <c r="S13" i="27"/>
  <c r="Q13" i="27"/>
  <c r="S14" i="27"/>
  <c r="Q14" i="27"/>
  <c r="S15" i="27"/>
  <c r="Q15" i="27"/>
  <c r="S16" i="27"/>
  <c r="Q16" i="27"/>
  <c r="S17" i="27"/>
  <c r="Q17" i="27"/>
  <c r="U17" i="27"/>
  <c r="S18" i="27"/>
  <c r="U18" i="27"/>
  <c r="Q18" i="27"/>
  <c r="S19" i="27"/>
  <c r="Q19" i="27"/>
  <c r="S20" i="27"/>
  <c r="U20" i="27"/>
  <c r="Q20" i="27"/>
  <c r="S21" i="27"/>
  <c r="Q21" i="27"/>
  <c r="S22" i="27"/>
  <c r="Q22" i="27"/>
  <c r="S23" i="27"/>
  <c r="Q23" i="27"/>
  <c r="S24" i="27"/>
  <c r="Q24" i="27"/>
  <c r="U24" i="27"/>
  <c r="S25" i="27"/>
  <c r="Q25" i="27"/>
  <c r="S26" i="27"/>
  <c r="Q26" i="27"/>
  <c r="S27" i="27"/>
  <c r="U27" i="27"/>
  <c r="Q27" i="27"/>
  <c r="S28" i="27"/>
  <c r="Q28" i="27"/>
  <c r="A1" i="30"/>
  <c r="A4" i="30"/>
  <c r="F18" i="30"/>
  <c r="C15" i="30"/>
  <c r="B26" i="30"/>
  <c r="A19" i="30"/>
  <c r="C7" i="30"/>
  <c r="E18" i="30"/>
  <c r="E26" i="30"/>
  <c r="C24" i="30"/>
  <c r="G21" i="30"/>
  <c r="B18" i="30"/>
  <c r="A26" i="30"/>
  <c r="F11" i="30"/>
  <c r="E14" i="30"/>
  <c r="F28" i="30"/>
  <c r="A24" i="30"/>
  <c r="E27" i="30"/>
  <c r="A15" i="30"/>
  <c r="E6" i="30"/>
  <c r="B13" i="30"/>
  <c r="G20" i="30"/>
  <c r="A8" i="30"/>
  <c r="E22" i="30"/>
  <c r="F12" i="30"/>
  <c r="G24" i="30"/>
  <c r="G28" i="30"/>
  <c r="G23" i="30"/>
  <c r="C13" i="30"/>
  <c r="G25" i="30"/>
  <c r="C27" i="30"/>
  <c r="A9" i="30"/>
  <c r="A12" i="30"/>
  <c r="B4" i="30"/>
  <c r="B16" i="30"/>
  <c r="A28" i="30"/>
  <c r="F20" i="30"/>
  <c r="B7" i="30"/>
  <c r="C28" i="30"/>
  <c r="E25" i="30"/>
  <c r="B21" i="30"/>
  <c r="G17" i="30"/>
  <c r="C11" i="30"/>
  <c r="C12" i="30"/>
  <c r="B10" i="30"/>
  <c r="B25" i="30"/>
  <c r="C16" i="30"/>
  <c r="F10" i="30"/>
  <c r="E23" i="30"/>
  <c r="C6" i="30"/>
  <c r="C26" i="30"/>
  <c r="C4" i="30"/>
  <c r="A25" i="30"/>
  <c r="E7" i="30"/>
  <c r="B15" i="30"/>
  <c r="F8" i="30"/>
  <c r="A10" i="30"/>
  <c r="G14" i="30"/>
  <c r="C5" i="30"/>
  <c r="G11" i="30"/>
  <c r="B6" i="30"/>
  <c r="B27" i="30"/>
  <c r="E20" i="30"/>
  <c r="B9" i="30"/>
  <c r="F26" i="30"/>
  <c r="F15" i="30"/>
  <c r="B28" i="30"/>
  <c r="C18" i="30"/>
  <c r="F4" i="30"/>
  <c r="A27" i="30"/>
  <c r="G12" i="30"/>
  <c r="C19" i="30"/>
  <c r="G18" i="30"/>
  <c r="G27" i="30"/>
  <c r="G16" i="30"/>
  <c r="G19" i="30"/>
  <c r="A6" i="30"/>
  <c r="B5" i="30"/>
  <c r="A7" i="30"/>
  <c r="E24" i="30"/>
  <c r="E21" i="30"/>
  <c r="G22" i="30"/>
  <c r="C21" i="30"/>
  <c r="E16" i="30"/>
  <c r="A20" i="30"/>
  <c r="F23" i="30"/>
  <c r="F17" i="30"/>
  <c r="F16" i="30"/>
  <c r="C9" i="30"/>
  <c r="A18" i="30"/>
  <c r="A22" i="30"/>
  <c r="B22" i="30"/>
  <c r="A14" i="30"/>
  <c r="C23" i="30"/>
  <c r="E8" i="30"/>
  <c r="B17" i="30"/>
  <c r="C14" i="30"/>
  <c r="C25" i="30"/>
  <c r="C10" i="30"/>
  <c r="I4" i="30"/>
  <c r="F27" i="30"/>
  <c r="A5" i="30"/>
  <c r="A23" i="30"/>
  <c r="F21" i="30"/>
  <c r="G8" i="30"/>
  <c r="B14" i="30"/>
  <c r="C22" i="30"/>
  <c r="B23" i="30"/>
  <c r="E19" i="30"/>
  <c r="E4" i="30"/>
  <c r="A13" i="30"/>
  <c r="F25" i="30"/>
  <c r="A11" i="30"/>
  <c r="E15" i="30"/>
  <c r="A17" i="30"/>
  <c r="A16" i="30"/>
  <c r="G15" i="30"/>
  <c r="G4" i="30"/>
  <c r="G13" i="30"/>
  <c r="A21" i="30"/>
  <c r="B11" i="30"/>
  <c r="B24" i="30"/>
  <c r="F24" i="30"/>
  <c r="G26" i="30"/>
  <c r="G10" i="30"/>
  <c r="B12" i="30"/>
  <c r="G5" i="30"/>
  <c r="E5" i="30"/>
  <c r="B19" i="30"/>
  <c r="F13" i="30"/>
  <c r="G6" i="30"/>
  <c r="E13" i="30"/>
  <c r="F22" i="30"/>
  <c r="F9" i="30"/>
  <c r="F14" i="30"/>
  <c r="C8" i="30"/>
  <c r="G7" i="30"/>
  <c r="B20" i="30"/>
  <c r="F7" i="30"/>
  <c r="C20" i="30"/>
  <c r="C17" i="30"/>
  <c r="F6" i="30"/>
  <c r="F5" i="30"/>
  <c r="D4" i="30"/>
  <c r="E17" i="30"/>
  <c r="G9" i="30"/>
  <c r="F19" i="30"/>
  <c r="B8" i="30"/>
  <c r="U26" i="27"/>
  <c r="U21" i="27"/>
  <c r="U15" i="27"/>
  <c r="R22" i="27"/>
  <c r="R13" i="27"/>
  <c r="R21" i="27"/>
  <c r="U29" i="27"/>
  <c r="U19" i="27"/>
  <c r="U28" i="27"/>
  <c r="U7" i="27"/>
  <c r="U23" i="27"/>
  <c r="R11" i="27"/>
  <c r="R30" i="27"/>
  <c r="U6" i="27"/>
  <c r="V6" i="27"/>
  <c r="U22" i="27"/>
  <c r="U10" i="27"/>
  <c r="U8" i="27"/>
  <c r="R17" i="27"/>
  <c r="U16" i="27"/>
  <c r="W7" i="27"/>
  <c r="R24" i="27"/>
  <c r="U9" i="27"/>
  <c r="P8" i="27"/>
  <c r="P9" i="27"/>
  <c r="P10" i="27"/>
  <c r="P11" i="27"/>
  <c r="P12" i="27"/>
  <c r="P13" i="27"/>
  <c r="P14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R29" i="27"/>
  <c r="U25" i="27"/>
  <c r="R28" i="27"/>
  <c r="R23" i="27"/>
  <c r="R16" i="27"/>
  <c r="Z6" i="27"/>
  <c r="E9" i="30"/>
  <c r="D5" i="30"/>
  <c r="E28" i="30"/>
  <c r="V7" i="27"/>
  <c r="V8" i="27"/>
  <c r="V9" i="27"/>
  <c r="U30" i="27"/>
  <c r="U11" i="27"/>
  <c r="W8" i="27"/>
  <c r="E10" i="30"/>
  <c r="D6" i="30"/>
  <c r="I5" i="30"/>
  <c r="U12" i="27"/>
  <c r="W9" i="27"/>
  <c r="Z7" i="27"/>
  <c r="V10" i="27"/>
  <c r="D7" i="30"/>
  <c r="E11" i="30"/>
  <c r="I6" i="30"/>
  <c r="U13" i="27"/>
  <c r="W10" i="27"/>
  <c r="Z8" i="27"/>
  <c r="V11" i="27"/>
  <c r="D8" i="30"/>
  <c r="E12" i="30"/>
  <c r="I7" i="30"/>
  <c r="U14" i="27"/>
  <c r="W11" i="27"/>
  <c r="Z9" i="27"/>
  <c r="V12" i="27"/>
  <c r="I8" i="30"/>
  <c r="D9" i="30"/>
  <c r="W12" i="27"/>
  <c r="Z10" i="27"/>
  <c r="V13" i="27"/>
  <c r="I9" i="30"/>
  <c r="D10" i="30"/>
  <c r="W13" i="27"/>
  <c r="Z11" i="27"/>
  <c r="V14" i="27"/>
  <c r="I10" i="30"/>
  <c r="D11" i="30"/>
  <c r="W14" i="27"/>
  <c r="Z12" i="27"/>
  <c r="V15" i="27"/>
  <c r="I11" i="30"/>
  <c r="D12" i="30"/>
  <c r="W15" i="27"/>
  <c r="Z13" i="27"/>
  <c r="V16" i="27"/>
  <c r="I12" i="30"/>
  <c r="D13" i="30"/>
  <c r="W16" i="27"/>
  <c r="Z14" i="27"/>
  <c r="V17" i="27"/>
  <c r="I13" i="30"/>
  <c r="D14" i="30"/>
  <c r="W17" i="27"/>
  <c r="Z15" i="27"/>
  <c r="V18" i="27"/>
  <c r="I14" i="30"/>
  <c r="D15" i="30"/>
  <c r="W18" i="27"/>
  <c r="Z16" i="27"/>
  <c r="V19" i="27"/>
  <c r="I15" i="30"/>
  <c r="D16" i="30"/>
  <c r="W19" i="27"/>
  <c r="Z17" i="27"/>
  <c r="V20" i="27"/>
  <c r="I16" i="30"/>
  <c r="D17" i="30"/>
  <c r="W20" i="27"/>
  <c r="Z18" i="27"/>
  <c r="V21" i="27"/>
  <c r="I17" i="30"/>
  <c r="D18" i="30"/>
  <c r="W21" i="27"/>
  <c r="Z19" i="27"/>
  <c r="V22" i="27"/>
  <c r="I18" i="30"/>
  <c r="D19" i="30"/>
  <c r="W22" i="27"/>
  <c r="Z20" i="27"/>
  <c r="V23" i="27"/>
  <c r="I19" i="30"/>
  <c r="D20" i="30"/>
  <c r="W23" i="27"/>
  <c r="Z21" i="27"/>
  <c r="V24" i="27"/>
  <c r="I20" i="30"/>
  <c r="D21" i="30"/>
  <c r="W24" i="27"/>
  <c r="Z22" i="27"/>
  <c r="V25" i="27"/>
  <c r="I21" i="30"/>
  <c r="D22" i="30"/>
  <c r="W25" i="27"/>
  <c r="Z23" i="27"/>
  <c r="V26" i="27"/>
  <c r="I22" i="30"/>
  <c r="D23" i="30"/>
  <c r="W26" i="27"/>
  <c r="Z24" i="27"/>
  <c r="V27" i="27"/>
  <c r="I23" i="30"/>
  <c r="D24" i="30"/>
  <c r="W27" i="27"/>
  <c r="Z25" i="27"/>
  <c r="V28" i="27"/>
  <c r="I24" i="30"/>
  <c r="D25" i="30"/>
  <c r="W28" i="27"/>
  <c r="Z26" i="27"/>
  <c r="V29" i="27"/>
  <c r="V30" i="27"/>
  <c r="I25" i="30"/>
  <c r="D26" i="30"/>
  <c r="W29" i="27"/>
  <c r="Z27" i="27"/>
  <c r="H4" i="30"/>
  <c r="I26" i="30"/>
  <c r="D27" i="30"/>
  <c r="W30" i="27"/>
  <c r="Z28" i="27"/>
  <c r="H5" i="30"/>
  <c r="I27" i="30"/>
  <c r="D28" i="30"/>
  <c r="Z29" i="27"/>
  <c r="H6" i="30"/>
  <c r="I28" i="30"/>
  <c r="Z30" i="27"/>
  <c r="H8" i="30"/>
  <c r="H7" i="30"/>
  <c r="H9" i="30"/>
  <c r="H10" i="30"/>
  <c r="H11" i="30"/>
  <c r="H12" i="30"/>
  <c r="H13" i="30"/>
  <c r="H14" i="30"/>
  <c r="H15" i="30"/>
  <c r="H16" i="30"/>
  <c r="H17" i="30"/>
  <c r="H18" i="30"/>
  <c r="H19" i="30"/>
  <c r="H20" i="30"/>
  <c r="H21" i="30"/>
  <c r="H22" i="30"/>
  <c r="H23" i="30"/>
  <c r="H27" i="30"/>
  <c r="H28" i="30"/>
  <c r="H24" i="30"/>
  <c r="H26" i="30"/>
  <c r="H25" i="30"/>
</calcChain>
</file>

<file path=xl/sharedStrings.xml><?xml version="1.0" encoding="utf-8"?>
<sst xmlns="http://schemas.openxmlformats.org/spreadsheetml/2006/main" count="76" uniqueCount="62">
  <si>
    <t>Gas volume (ml)</t>
  </si>
  <si>
    <t>Start Date:</t>
  </si>
  <si>
    <t>Gas chamber</t>
  </si>
  <si>
    <t>Bubble chamber</t>
  </si>
  <si>
    <t xml:space="preserve">   Manifold </t>
  </si>
  <si>
    <t>Start P
(bar)</t>
  </si>
  <si>
    <t>End P
(bar)</t>
  </si>
  <si>
    <t>Liquid volume
(ml)</t>
  </si>
  <si>
    <t>Liquid Vol
(ml)</t>
  </si>
  <si>
    <t>Temp
(C)</t>
  </si>
  <si>
    <t>Ambient Pressure (mbar):</t>
  </si>
  <si>
    <t xml:space="preserve">   Sample ID/Chamber</t>
  </si>
  <si>
    <t>CH4 %</t>
  </si>
  <si>
    <t xml:space="preserve"> </t>
  </si>
  <si>
    <t>Total Time
(hrs)</t>
  </si>
  <si>
    <t>Volume Gas 
Chamber
(ml)</t>
  </si>
  <si>
    <t>Date</t>
  </si>
  <si>
    <t>Stage</t>
  </si>
  <si>
    <t>Start Pressure
(MPa)</t>
  </si>
  <si>
    <t>End Pressure
(MPa)</t>
  </si>
  <si>
    <t>Cumulative Volume Gas Expelled (liters @ STP)</t>
  </si>
  <si>
    <r>
      <t>Percent Methane (%</t>
    </r>
    <r>
      <rPr>
        <b/>
        <sz val="10"/>
        <rFont val="Arial"/>
        <family val="2"/>
      </rPr>
      <t>)</t>
    </r>
  </si>
  <si>
    <t>Gas Sample</t>
  </si>
  <si>
    <t>Cumulative Volume Liquid Expelled
(liters)</t>
  </si>
  <si>
    <t>Degassing Progress (%)</t>
  </si>
  <si>
    <r>
      <t>Estimated    Methane</t>
    </r>
    <r>
      <rPr>
        <b/>
        <sz val="10"/>
        <rFont val="Arial"/>
        <family val="2"/>
      </rPr>
      <t xml:space="preserve">        in System         (liters @ STP)</t>
    </r>
  </si>
  <si>
    <t>Gas sample (syringe #)</t>
  </si>
  <si>
    <t>Copy name of degassing data sheet and paste here</t>
  </si>
  <si>
    <t>Time</t>
  </si>
  <si>
    <t>Other Samples / Comments</t>
  </si>
  <si>
    <t>Incremental Time
(min)</t>
  </si>
  <si>
    <t>Manifold</t>
  </si>
  <si>
    <t>expelled methane</t>
  </si>
  <si>
    <t>total methane</t>
  </si>
  <si>
    <t>time</t>
  </si>
  <si>
    <t>incremental expelled gas</t>
  </si>
  <si>
    <t>gas chamber</t>
  </si>
  <si>
    <t>bubble</t>
  </si>
  <si>
    <t>methane %</t>
  </si>
  <si>
    <t>Cumulative  vol CH4
expelled
(L @STP)</t>
  </si>
  <si>
    <t>CH4 gas in system from expelled liquid
(L @STP)</t>
  </si>
  <si>
    <t>Total CH4 in system
(L @STP)</t>
  </si>
  <si>
    <t xml:space="preserve"> Total incremental vol CH4
expelled
(ml @STP)</t>
  </si>
  <si>
    <t>Incremental Chamber Volume Gas
(ml @STP)</t>
  </si>
  <si>
    <t>Incremental Bubble Volume Gas
(ml @STP)</t>
  </si>
  <si>
    <t>methane remaining in chamber</t>
  </si>
  <si>
    <t>Cumulative vol liquid expelled
(L)</t>
  </si>
  <si>
    <t>System compliance (26 or 90 ml) (L)</t>
  </si>
  <si>
    <t>for plot</t>
  </si>
  <si>
    <t>End P
(MPa)</t>
  </si>
  <si>
    <t>UT-GOM2-1-H005-4FB-3 / 035-031</t>
  </si>
  <si>
    <t>Red</t>
  </si>
  <si>
    <t>Cu tube 48</t>
  </si>
  <si>
    <t>Cu tube 56</t>
  </si>
  <si>
    <t>Cu tube 57</t>
  </si>
  <si>
    <t>UT-GOM2-1-H005-4FB-3</t>
  </si>
  <si>
    <t>total liquid = ????</t>
  </si>
  <si>
    <t>1R</t>
  </si>
  <si>
    <t>2R</t>
  </si>
  <si>
    <t>3R</t>
  </si>
  <si>
    <t>4R</t>
  </si>
  <si>
    <t>5R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</si>
</sst>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0.0"/>
    <numFmt numFmtId="166" formatCode="0.0000"/>
  </numFmts>
  <fonts count="18" x14ac:knownFonts="1">
    <font>
      <sz val="10"/>
      <name val="Verdana"/>
    </font>
    <font>
      <b/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4"/>
      <name val="Verdana"/>
      <family val="2"/>
    </font>
    <font>
      <sz val="14"/>
      <name val="Verdana"/>
      <family val="2"/>
    </font>
    <font>
      <sz val="1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2"/>
      <color theme="0" tint="-0.499984740745262"/>
      <name val="Verdana"/>
      <family val="2"/>
    </font>
    <font>
      <b/>
      <sz val="12"/>
      <color theme="9" tint="-0.499984740745262"/>
      <name val="Verdana"/>
      <family val="2"/>
    </font>
    <font>
      <sz val="12"/>
      <color theme="9" tint="-0.499984740745262"/>
      <name val="Verdana"/>
      <family val="2"/>
    </font>
    <font>
      <sz val="14"/>
      <color theme="9" tint="-0.499984740745262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DE2C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74999237037263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88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ill="1"/>
    <xf numFmtId="0" fontId="1" fillId="0" borderId="0" xfId="0" applyFont="1" applyFill="1" applyAlignment="1">
      <alignment horizontal="center" wrapText="1"/>
    </xf>
    <xf numFmtId="164" fontId="1" fillId="0" borderId="0" xfId="5" applyFont="1" applyFill="1" applyAlignment="1">
      <alignment horizontal="center" wrapText="1"/>
    </xf>
    <xf numFmtId="1" fontId="1" fillId="0" borderId="0" xfId="0" applyNumberFormat="1" applyFont="1" applyFill="1" applyAlignment="1">
      <alignment horizontal="center" wrapText="1"/>
    </xf>
    <xf numFmtId="164" fontId="1" fillId="0" borderId="0" xfId="5" applyNumberFormat="1" applyFont="1" applyFill="1" applyAlignment="1">
      <alignment horizontal="center" wrapText="1"/>
    </xf>
    <xf numFmtId="0" fontId="6" fillId="0" borderId="0" xfId="0" applyFont="1"/>
    <xf numFmtId="0" fontId="0" fillId="0" borderId="0" xfId="0" applyAlignment="1">
      <alignment horizontal="center" wrapText="1"/>
    </xf>
    <xf numFmtId="0" fontId="10" fillId="0" borderId="0" xfId="6" applyFont="1"/>
    <xf numFmtId="2" fontId="11" fillId="0" borderId="0" xfId="6" applyNumberFormat="1" applyFont="1" applyBorder="1" applyAlignment="1">
      <alignment vertical="center"/>
    </xf>
    <xf numFmtId="0" fontId="10" fillId="0" borderId="0" xfId="6" applyFont="1" applyBorder="1"/>
    <xf numFmtId="0" fontId="12" fillId="3" borderId="25" xfId="6" applyFont="1" applyFill="1" applyBorder="1" applyAlignment="1">
      <alignment horizontal="center" vertical="center" wrapText="1"/>
    </xf>
    <xf numFmtId="164" fontId="12" fillId="3" borderId="25" xfId="6" applyNumberFormat="1" applyFont="1" applyFill="1" applyBorder="1" applyAlignment="1">
      <alignment horizontal="center" vertical="center" wrapText="1"/>
    </xf>
    <xf numFmtId="164" fontId="12" fillId="3" borderId="26" xfId="6" applyNumberFormat="1" applyFont="1" applyFill="1" applyBorder="1" applyAlignment="1">
      <alignment horizontal="center" vertical="center" wrapText="1"/>
    </xf>
    <xf numFmtId="0" fontId="10" fillId="0" borderId="0" xfId="6" applyFont="1" applyAlignment="1">
      <alignment vertical="center"/>
    </xf>
    <xf numFmtId="0" fontId="10" fillId="0" borderId="1" xfId="6" applyFont="1" applyBorder="1" applyAlignment="1">
      <alignment horizontal="center"/>
    </xf>
    <xf numFmtId="165" fontId="10" fillId="0" borderId="1" xfId="6" applyNumberFormat="1" applyFont="1" applyBorder="1" applyAlignment="1">
      <alignment horizontal="center"/>
    </xf>
    <xf numFmtId="2" fontId="10" fillId="0" borderId="1" xfId="6" applyNumberFormat="1" applyFont="1" applyBorder="1" applyAlignment="1">
      <alignment horizontal="center"/>
    </xf>
    <xf numFmtId="9" fontId="10" fillId="0" borderId="1" xfId="87" applyFont="1" applyBorder="1" applyAlignment="1">
      <alignment horizontal="center"/>
    </xf>
    <xf numFmtId="0" fontId="10" fillId="0" borderId="0" xfId="6" applyFont="1" applyAlignment="1">
      <alignment horizontal="center"/>
    </xf>
    <xf numFmtId="2" fontId="13" fillId="0" borderId="0" xfId="6" applyNumberFormat="1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14" fontId="8" fillId="0" borderId="22" xfId="0" applyNumberFormat="1" applyFont="1" applyBorder="1" applyAlignment="1">
      <alignment horizontal="center" vertical="center"/>
    </xf>
    <xf numFmtId="20" fontId="8" fillId="0" borderId="36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8" fillId="0" borderId="19" xfId="0" applyFont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21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164" fontId="0" fillId="0" borderId="0" xfId="5" applyFont="1" applyFill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5" applyNumberFormat="1" applyFont="1" applyFill="1" applyAlignment="1">
      <alignment horizontal="center"/>
    </xf>
    <xf numFmtId="0" fontId="1" fillId="0" borderId="12" xfId="0" applyFont="1" applyFill="1" applyBorder="1" applyAlignment="1">
      <alignment horizontal="center" wrapText="1"/>
    </xf>
    <xf numFmtId="164" fontId="1" fillId="0" borderId="4" xfId="5" applyFont="1" applyFill="1" applyBorder="1" applyAlignment="1">
      <alignment horizontal="center" wrapText="1"/>
    </xf>
    <xf numFmtId="0" fontId="7" fillId="0" borderId="20" xfId="0" applyFont="1" applyBorder="1" applyAlignment="1">
      <alignment horizontal="center" vertical="center" wrapText="1"/>
    </xf>
    <xf numFmtId="1" fontId="1" fillId="0" borderId="12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1" fontId="1" fillId="0" borderId="13" xfId="0" applyNumberFormat="1" applyFont="1" applyFill="1" applyBorder="1" applyAlignment="1">
      <alignment horizontal="center" wrapText="1"/>
    </xf>
    <xf numFmtId="0" fontId="7" fillId="0" borderId="43" xfId="0" applyFont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wrapText="1"/>
    </xf>
    <xf numFmtId="164" fontId="1" fillId="0" borderId="12" xfId="5" applyNumberFormat="1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1" fontId="15" fillId="0" borderId="0" xfId="0" applyNumberFormat="1" applyFont="1" applyFill="1" applyAlignment="1">
      <alignment horizontal="center" vertical="center"/>
    </xf>
    <xf numFmtId="0" fontId="7" fillId="4" borderId="24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" fontId="16" fillId="0" borderId="0" xfId="5" applyNumberFormat="1" applyFont="1" applyFill="1" applyAlignment="1">
      <alignment horizontal="center" vertical="center"/>
    </xf>
    <xf numFmtId="2" fontId="16" fillId="0" borderId="0" xfId="0" applyNumberFormat="1" applyFont="1" applyAlignment="1">
      <alignment horizontal="center" vertical="center"/>
    </xf>
    <xf numFmtId="164" fontId="1" fillId="0" borderId="4" xfId="5" applyNumberFormat="1" applyFont="1" applyFill="1" applyBorder="1" applyAlignment="1">
      <alignment horizontal="center" wrapText="1"/>
    </xf>
    <xf numFmtId="164" fontId="1" fillId="0" borderId="3" xfId="5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center" vertical="center" wrapText="1"/>
    </xf>
    <xf numFmtId="1" fontId="10" fillId="0" borderId="1" xfId="6" applyNumberFormat="1" applyFont="1" applyBorder="1" applyAlignment="1">
      <alignment horizontal="center"/>
    </xf>
    <xf numFmtId="164" fontId="1" fillId="0" borderId="45" xfId="5" applyNumberFormat="1" applyFont="1" applyFill="1" applyBorder="1" applyAlignment="1">
      <alignment horizontal="center" wrapText="1"/>
    </xf>
    <xf numFmtId="165" fontId="16" fillId="0" borderId="0" xfId="5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horizontal="center" vertical="center"/>
    </xf>
    <xf numFmtId="166" fontId="16" fillId="0" borderId="0" xfId="0" applyNumberFormat="1" applyFont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16" fontId="5" fillId="0" borderId="24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2" fontId="9" fillId="0" borderId="0" xfId="6" applyNumberFormat="1" applyFont="1" applyBorder="1" applyAlignment="1">
      <alignment horizontal="center" vertical="center"/>
    </xf>
  </cellXfs>
  <cellStyles count="88">
    <cellStyle name="Comma" xfId="5" builtinId="3"/>
    <cellStyle name="Followed Hyperlink" xfId="2" builtinId="9" hidden="1"/>
    <cellStyle name="Followed Hyperlink" xfId="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3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Normal 2" xfId="6"/>
    <cellStyle name="Percent 2" xfId="87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24208144796"/>
          <c:y val="0.126385162601626"/>
          <c:w val="0.851293788276465"/>
          <c:h val="0.769292578585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'UT-GOM2-1-H005-4FB-3'!$Z$4</c:f>
              <c:strCache>
                <c:ptCount val="1"/>
                <c:pt idx="0">
                  <c:v>total methane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  <a:tailEnd type="none" w="lg" len="sm"/>
            </a:ln>
          </c:spPr>
          <c:marker>
            <c:symbol val="square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'UT-GOM2-1-H005-4FB-3'!$Z$6:$Z$30</c:f>
              <c:numCache>
                <c:formatCode>0.00</c:formatCode>
                <c:ptCount val="25"/>
                <c:pt idx="0">
                  <c:v>0.0</c:v>
                </c:pt>
                <c:pt idx="1">
                  <c:v>0.810685081896541</c:v>
                </c:pt>
                <c:pt idx="2">
                  <c:v>1.188380941410878</c:v>
                </c:pt>
                <c:pt idx="3">
                  <c:v>1.383953542267574</c:v>
                </c:pt>
                <c:pt idx="4">
                  <c:v>1.71065097550652</c:v>
                </c:pt>
                <c:pt idx="5">
                  <c:v>1.649410617970345</c:v>
                </c:pt>
                <c:pt idx="6">
                  <c:v>1.170049524987501</c:v>
                </c:pt>
                <c:pt idx="7">
                  <c:v>1.481274185428708</c:v>
                </c:pt>
                <c:pt idx="8">
                  <c:v>1.409915369449432</c:v>
                </c:pt>
                <c:pt idx="9">
                  <c:v>1.454196708064063</c:v>
                </c:pt>
                <c:pt idx="10">
                  <c:v>1.440885900211574</c:v>
                </c:pt>
                <c:pt idx="11">
                  <c:v>1.109590277411475</c:v>
                </c:pt>
                <c:pt idx="12">
                  <c:v>1.222135877520699</c:v>
                </c:pt>
                <c:pt idx="13">
                  <c:v>1.127354940208846</c:v>
                </c:pt>
                <c:pt idx="14">
                  <c:v>2.067770574857398</c:v>
                </c:pt>
                <c:pt idx="15">
                  <c:v>2.069313154347508</c:v>
                </c:pt>
                <c:pt idx="16">
                  <c:v>2.2092179365058</c:v>
                </c:pt>
                <c:pt idx="17">
                  <c:v>2.672420982430257</c:v>
                </c:pt>
                <c:pt idx="18">
                  <c:v>3.382843204899041</c:v>
                </c:pt>
                <c:pt idx="19">
                  <c:v>3.321378281128686</c:v>
                </c:pt>
                <c:pt idx="20">
                  <c:v>3.421423256546664</c:v>
                </c:pt>
                <c:pt idx="21">
                  <c:v>3.18420958883614</c:v>
                </c:pt>
                <c:pt idx="22">
                  <c:v>3.23375076417125</c:v>
                </c:pt>
                <c:pt idx="23">
                  <c:v>3.156861215018755</c:v>
                </c:pt>
                <c:pt idx="24">
                  <c:v>3.352729567329687</c:v>
                </c:pt>
              </c:numCache>
            </c:numRef>
          </c:xVal>
          <c:yVal>
            <c:numRef>
              <c:f>'UT-GOM2-1-H005-4FB-3'!$AB$6:$AB$30</c:f>
              <c:numCache>
                <c:formatCode>0.0</c:formatCode>
                <c:ptCount val="25"/>
                <c:pt idx="0">
                  <c:v>17.3</c:v>
                </c:pt>
                <c:pt idx="1">
                  <c:v>15.3</c:v>
                </c:pt>
                <c:pt idx="2">
                  <c:v>14.7</c:v>
                </c:pt>
                <c:pt idx="3">
                  <c:v>11.9</c:v>
                </c:pt>
                <c:pt idx="4">
                  <c:v>11.2</c:v>
                </c:pt>
                <c:pt idx="5">
                  <c:v>10.3</c:v>
                </c:pt>
                <c:pt idx="6">
                  <c:v>7.4</c:v>
                </c:pt>
                <c:pt idx="7">
                  <c:v>7.3</c:v>
                </c:pt>
                <c:pt idx="8">
                  <c:v>6.8</c:v>
                </c:pt>
                <c:pt idx="9">
                  <c:v>6.6</c:v>
                </c:pt>
                <c:pt idx="10">
                  <c:v>6.5</c:v>
                </c:pt>
                <c:pt idx="11">
                  <c:v>5.2</c:v>
                </c:pt>
                <c:pt idx="12">
                  <c:v>4.8</c:v>
                </c:pt>
                <c:pt idx="13">
                  <c:v>4.3</c:v>
                </c:pt>
                <c:pt idx="14">
                  <c:v>4.4</c:v>
                </c:pt>
                <c:pt idx="15">
                  <c:v>4.2</c:v>
                </c:pt>
                <c:pt idx="16">
                  <c:v>3.9</c:v>
                </c:pt>
                <c:pt idx="17">
                  <c:v>3.9</c:v>
                </c:pt>
                <c:pt idx="18">
                  <c:v>3.8</c:v>
                </c:pt>
                <c:pt idx="19">
                  <c:v>3.0</c:v>
                </c:pt>
                <c:pt idx="20">
                  <c:v>1.6</c:v>
                </c:pt>
                <c:pt idx="21">
                  <c:v>0.8</c:v>
                </c:pt>
                <c:pt idx="22">
                  <c:v>0.5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'UT-GOM2-1-H005-4FB-3'!$U$4</c:f>
              <c:strCache>
                <c:ptCount val="1"/>
                <c:pt idx="0">
                  <c:v>expelled methane</c:v>
                </c:pt>
              </c:strCache>
            </c:strRef>
          </c:tx>
          <c:spPr>
            <a:ln w="25400">
              <a:solidFill>
                <a:srgbClr val="00B05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xVal>
            <c:numRef>
              <c:f>'UT-GOM2-1-H005-4FB-3'!$V$6:$V$30</c:f>
              <c:numCache>
                <c:formatCode>0.00</c:formatCode>
                <c:ptCount val="2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0.574808466515461</c:v>
                </c:pt>
                <c:pt idx="21">
                  <c:v>1.249296852198015</c:v>
                </c:pt>
                <c:pt idx="22">
                  <c:v>1.895285728626376</c:v>
                </c:pt>
                <c:pt idx="23">
                  <c:v>2.864269043268919</c:v>
                </c:pt>
                <c:pt idx="24">
                  <c:v>3.065537971258016</c:v>
                </c:pt>
              </c:numCache>
            </c:numRef>
          </c:xVal>
          <c:yVal>
            <c:numRef>
              <c:f>'UT-GOM2-1-H005-4FB-3'!$AB$6:$AB$30</c:f>
              <c:numCache>
                <c:formatCode>0.0</c:formatCode>
                <c:ptCount val="25"/>
                <c:pt idx="0">
                  <c:v>17.3</c:v>
                </c:pt>
                <c:pt idx="1">
                  <c:v>15.3</c:v>
                </c:pt>
                <c:pt idx="2">
                  <c:v>14.7</c:v>
                </c:pt>
                <c:pt idx="3">
                  <c:v>11.9</c:v>
                </c:pt>
                <c:pt idx="4">
                  <c:v>11.2</c:v>
                </c:pt>
                <c:pt idx="5">
                  <c:v>10.3</c:v>
                </c:pt>
                <c:pt idx="6">
                  <c:v>7.4</c:v>
                </c:pt>
                <c:pt idx="7">
                  <c:v>7.3</c:v>
                </c:pt>
                <c:pt idx="8">
                  <c:v>6.8</c:v>
                </c:pt>
                <c:pt idx="9">
                  <c:v>6.6</c:v>
                </c:pt>
                <c:pt idx="10">
                  <c:v>6.5</c:v>
                </c:pt>
                <c:pt idx="11">
                  <c:v>5.2</c:v>
                </c:pt>
                <c:pt idx="12">
                  <c:v>4.8</c:v>
                </c:pt>
                <c:pt idx="13">
                  <c:v>4.3</c:v>
                </c:pt>
                <c:pt idx="14">
                  <c:v>4.4</c:v>
                </c:pt>
                <c:pt idx="15">
                  <c:v>4.2</c:v>
                </c:pt>
                <c:pt idx="16">
                  <c:v>3.9</c:v>
                </c:pt>
                <c:pt idx="17">
                  <c:v>3.9</c:v>
                </c:pt>
                <c:pt idx="18">
                  <c:v>3.8</c:v>
                </c:pt>
                <c:pt idx="19">
                  <c:v>3.0</c:v>
                </c:pt>
                <c:pt idx="20">
                  <c:v>1.6</c:v>
                </c:pt>
                <c:pt idx="21">
                  <c:v>0.8</c:v>
                </c:pt>
                <c:pt idx="22">
                  <c:v>0.5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'UT-GOM2-1-H005-4FB-3'!$W$4</c:f>
              <c:strCache>
                <c:ptCount val="1"/>
                <c:pt idx="0">
                  <c:v>methane remaining in chamber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triangle"/>
            <c:size val="8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xVal>
            <c:numRef>
              <c:f>'UT-GOM2-1-H005-4FB-3'!$Y$6:$Y$30</c:f>
              <c:numCache>
                <c:formatCode>0.00</c:formatCode>
                <c:ptCount val="25"/>
                <c:pt idx="0">
                  <c:v>0.0</c:v>
                </c:pt>
                <c:pt idx="1">
                  <c:v>0.810685081896541</c:v>
                </c:pt>
                <c:pt idx="2">
                  <c:v>1.188380941410878</c:v>
                </c:pt>
                <c:pt idx="3">
                  <c:v>1.383953542267574</c:v>
                </c:pt>
                <c:pt idx="4">
                  <c:v>1.71065097550652</c:v>
                </c:pt>
                <c:pt idx="5">
                  <c:v>1.649410617970345</c:v>
                </c:pt>
                <c:pt idx="6">
                  <c:v>1.170049524987501</c:v>
                </c:pt>
                <c:pt idx="7">
                  <c:v>1.481274185428708</c:v>
                </c:pt>
                <c:pt idx="8">
                  <c:v>1.409915369449432</c:v>
                </c:pt>
                <c:pt idx="9">
                  <c:v>1.454196708064063</c:v>
                </c:pt>
                <c:pt idx="10">
                  <c:v>1.440885900211574</c:v>
                </c:pt>
                <c:pt idx="11">
                  <c:v>1.109590277411475</c:v>
                </c:pt>
                <c:pt idx="12">
                  <c:v>1.222135877520699</c:v>
                </c:pt>
                <c:pt idx="13">
                  <c:v>1.127354940208846</c:v>
                </c:pt>
                <c:pt idx="14">
                  <c:v>2.067770574857398</c:v>
                </c:pt>
                <c:pt idx="15">
                  <c:v>2.069313154347508</c:v>
                </c:pt>
                <c:pt idx="16">
                  <c:v>2.2092179365058</c:v>
                </c:pt>
                <c:pt idx="17">
                  <c:v>2.672420982430257</c:v>
                </c:pt>
                <c:pt idx="18">
                  <c:v>3.382843204899041</c:v>
                </c:pt>
                <c:pt idx="19">
                  <c:v>3.321378281128686</c:v>
                </c:pt>
                <c:pt idx="20">
                  <c:v>2.846614790031202</c:v>
                </c:pt>
                <c:pt idx="21">
                  <c:v>1.934912736638124</c:v>
                </c:pt>
                <c:pt idx="22">
                  <c:v>1.338465035544874</c:v>
                </c:pt>
                <c:pt idx="23">
                  <c:v>0.292592171749836</c:v>
                </c:pt>
                <c:pt idx="24">
                  <c:v>0.287191596071672</c:v>
                </c:pt>
              </c:numCache>
            </c:numRef>
          </c:xVal>
          <c:yVal>
            <c:numRef>
              <c:f>'UT-GOM2-1-H005-4FB-3'!$AB$6:$AB$30</c:f>
              <c:numCache>
                <c:formatCode>0.0</c:formatCode>
                <c:ptCount val="25"/>
                <c:pt idx="0">
                  <c:v>17.3</c:v>
                </c:pt>
                <c:pt idx="1">
                  <c:v>15.3</c:v>
                </c:pt>
                <c:pt idx="2">
                  <c:v>14.7</c:v>
                </c:pt>
                <c:pt idx="3">
                  <c:v>11.9</c:v>
                </c:pt>
                <c:pt idx="4">
                  <c:v>11.2</c:v>
                </c:pt>
                <c:pt idx="5">
                  <c:v>10.3</c:v>
                </c:pt>
                <c:pt idx="6">
                  <c:v>7.4</c:v>
                </c:pt>
                <c:pt idx="7">
                  <c:v>7.3</c:v>
                </c:pt>
                <c:pt idx="8">
                  <c:v>6.8</c:v>
                </c:pt>
                <c:pt idx="9">
                  <c:v>6.6</c:v>
                </c:pt>
                <c:pt idx="10">
                  <c:v>6.5</c:v>
                </c:pt>
                <c:pt idx="11">
                  <c:v>5.2</c:v>
                </c:pt>
                <c:pt idx="12">
                  <c:v>4.8</c:v>
                </c:pt>
                <c:pt idx="13">
                  <c:v>4.3</c:v>
                </c:pt>
                <c:pt idx="14">
                  <c:v>4.4</c:v>
                </c:pt>
                <c:pt idx="15">
                  <c:v>4.2</c:v>
                </c:pt>
                <c:pt idx="16">
                  <c:v>3.9</c:v>
                </c:pt>
                <c:pt idx="17">
                  <c:v>3.9</c:v>
                </c:pt>
                <c:pt idx="18">
                  <c:v>3.8</c:v>
                </c:pt>
                <c:pt idx="19">
                  <c:v>3.0</c:v>
                </c:pt>
                <c:pt idx="20">
                  <c:v>1.6</c:v>
                </c:pt>
                <c:pt idx="21">
                  <c:v>0.8</c:v>
                </c:pt>
                <c:pt idx="22">
                  <c:v>0.5</c:v>
                </c:pt>
                <c:pt idx="23">
                  <c:v>0.0</c:v>
                </c:pt>
                <c:pt idx="24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1548328"/>
        <c:axId val="-2074521432"/>
      </c:scatterChart>
      <c:valAx>
        <c:axId val="2121548328"/>
        <c:scaling>
          <c:orientation val="minMax"/>
          <c:min val="0.0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Volume CH4 @ STP (L)</a:t>
                </a:r>
              </a:p>
            </c:rich>
          </c:tx>
          <c:layout>
            <c:manualLayout>
              <c:xMode val="edge"/>
              <c:yMode val="edge"/>
              <c:x val="0.412330316742081"/>
              <c:y val="0.9517440718157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074521432"/>
        <c:crosses val="autoZero"/>
        <c:crossBetween val="midCat"/>
        <c:minorUnit val="1.0"/>
      </c:valAx>
      <c:valAx>
        <c:axId val="-2074521432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400" baseline="0"/>
                  <a:t>Pressure (MPa)</a:t>
                </a:r>
              </a:p>
            </c:rich>
          </c:tx>
          <c:layout>
            <c:manualLayout>
              <c:xMode val="edge"/>
              <c:yMode val="edge"/>
              <c:x val="0.0126675465057818"/>
              <c:y val="0.406135331978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21548328"/>
        <c:crosses val="autoZero"/>
        <c:crossBetween val="midCat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09361488185018"/>
          <c:y val="0.144544546070461"/>
          <c:w val="0.312371794871795"/>
          <c:h val="0.1050558943089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72645" y="431497"/>
    <xdr:ext cx="7956000" cy="5904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0.29124</cdr:x>
      <cdr:y>0.03465</cdr:y>
    </cdr:from>
    <cdr:to>
      <cdr:x>0.74495</cdr:x>
      <cdr:y>0.11339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120" y="204574"/>
          <a:ext cx="3609717" cy="464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GB" sz="2400" b="1">
              <a:latin typeface="Arial" panose="020B0604020202020204" pitchFamily="34" charset="0"/>
              <a:cs typeface="Arial" panose="020B0604020202020204" pitchFamily="34" charset="0"/>
            </a:rPr>
            <a:t>UT-GOM2-1-H005-4FB-3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B30"/>
  <sheetViews>
    <sheetView zoomScale="75" zoomScaleNormal="75" zoomScalePageLayoutView="75" workbookViewId="0">
      <selection activeCell="M36" sqref="M36"/>
    </sheetView>
  </sheetViews>
  <sheetFormatPr baseColWidth="10" defaultColWidth="11" defaultRowHeight="13" x14ac:dyDescent="0"/>
  <cols>
    <col min="1" max="1" width="11.28515625" style="2" customWidth="1"/>
    <col min="2" max="2" width="15.42578125" style="2" customWidth="1"/>
    <col min="3" max="3" width="20" customWidth="1"/>
    <col min="4" max="5" width="12.140625" customWidth="1"/>
    <col min="6" max="6" width="12.140625" style="9" customWidth="1"/>
    <col min="7" max="7" width="12.140625" style="1" customWidth="1"/>
    <col min="8" max="8" width="0.42578125" style="1" customWidth="1"/>
    <col min="9" max="12" width="13.5703125" customWidth="1"/>
    <col min="13" max="13" width="21.140625" customWidth="1"/>
    <col min="14" max="14" width="39.7109375" style="8" customWidth="1"/>
    <col min="15" max="15" width="13" style="41" customWidth="1"/>
    <col min="16" max="16" width="13" style="42" customWidth="1"/>
    <col min="17" max="17" width="13" style="43" customWidth="1"/>
    <col min="18" max="18" width="13" style="41" customWidth="1"/>
    <col min="19" max="19" width="13" style="43" customWidth="1"/>
    <col min="20" max="20" width="14.140625" style="41" customWidth="1"/>
    <col min="21" max="21" width="13" style="41" customWidth="1"/>
    <col min="22" max="22" width="13" style="44" customWidth="1"/>
    <col min="23" max="23" width="17" style="44" customWidth="1"/>
    <col min="24" max="24" width="13.140625" style="44" customWidth="1"/>
    <col min="25" max="25" width="14.85546875" style="44" customWidth="1"/>
    <col min="26" max="26" width="20.42578125" style="41" customWidth="1"/>
    <col min="27" max="16384" width="11" style="3"/>
  </cols>
  <sheetData>
    <row r="1" spans="1:28" ht="25" customHeight="1">
      <c r="A1" s="96" t="s">
        <v>1</v>
      </c>
      <c r="B1" s="97"/>
      <c r="C1" s="97"/>
      <c r="D1" s="97"/>
      <c r="E1" s="97"/>
      <c r="F1" s="98">
        <v>41421</v>
      </c>
      <c r="G1" s="99"/>
      <c r="H1" s="100"/>
      <c r="I1" s="101" t="s">
        <v>11</v>
      </c>
      <c r="J1" s="97"/>
      <c r="K1" s="97"/>
      <c r="L1" s="99" t="s">
        <v>50</v>
      </c>
      <c r="M1" s="99"/>
      <c r="N1" s="100"/>
      <c r="O1" s="4" t="s">
        <v>13</v>
      </c>
      <c r="P1" s="4" t="s">
        <v>13</v>
      </c>
      <c r="Q1" s="4" t="s">
        <v>13</v>
      </c>
      <c r="R1" s="4" t="s">
        <v>13</v>
      </c>
      <c r="S1" s="6" t="s">
        <v>13</v>
      </c>
      <c r="T1" s="4"/>
      <c r="U1" s="6" t="s">
        <v>13</v>
      </c>
      <c r="W1" s="7"/>
      <c r="X1" s="7"/>
    </row>
    <row r="2" spans="1:28" ht="25" customHeight="1" thickBot="1">
      <c r="A2" s="91" t="s">
        <v>10</v>
      </c>
      <c r="B2" s="92"/>
      <c r="C2" s="92"/>
      <c r="D2" s="92"/>
      <c r="E2" s="92"/>
      <c r="F2" s="93">
        <v>1013</v>
      </c>
      <c r="G2" s="93"/>
      <c r="H2" s="94"/>
      <c r="I2" s="95" t="s">
        <v>4</v>
      </c>
      <c r="J2" s="92"/>
      <c r="K2" s="92"/>
      <c r="L2" s="93" t="s">
        <v>51</v>
      </c>
      <c r="M2" s="93"/>
      <c r="N2" s="67">
        <f>IF(L2="red",4025, IF(L2="green",4140,IF(L2="yellow",4122,IF(L2="blue",4059,0))))</f>
        <v>4025</v>
      </c>
      <c r="O2" s="4"/>
      <c r="P2" s="5"/>
      <c r="Q2" s="6" t="s">
        <v>13</v>
      </c>
      <c r="S2" s="6" t="s">
        <v>13</v>
      </c>
      <c r="U2" s="4" t="s">
        <v>13</v>
      </c>
      <c r="V2" s="4" t="s">
        <v>13</v>
      </c>
      <c r="W2" s="4" t="s">
        <v>13</v>
      </c>
      <c r="X2" s="4"/>
      <c r="Y2" s="4"/>
      <c r="Z2" s="4" t="s">
        <v>13</v>
      </c>
    </row>
    <row r="3" spans="1:28" ht="25" customHeight="1" thickBot="1">
      <c r="A3" s="7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80"/>
      <c r="Q3" s="108" t="s">
        <v>35</v>
      </c>
      <c r="R3" s="109"/>
      <c r="S3" s="110"/>
    </row>
    <row r="4" spans="1:28" ht="25" customHeight="1">
      <c r="A4" s="81" t="s">
        <v>17</v>
      </c>
      <c r="B4" s="73" t="s">
        <v>16</v>
      </c>
      <c r="C4" s="83" t="s">
        <v>28</v>
      </c>
      <c r="D4" s="75" t="s">
        <v>31</v>
      </c>
      <c r="E4" s="77"/>
      <c r="F4" s="75" t="s">
        <v>3</v>
      </c>
      <c r="G4" s="76"/>
      <c r="H4" s="56"/>
      <c r="I4" s="85" t="s">
        <v>2</v>
      </c>
      <c r="J4" s="85"/>
      <c r="K4" s="85"/>
      <c r="L4" s="86"/>
      <c r="M4" s="87" t="s">
        <v>26</v>
      </c>
      <c r="N4" s="89" t="s">
        <v>29</v>
      </c>
      <c r="O4" s="107" t="s">
        <v>34</v>
      </c>
      <c r="P4" s="106"/>
      <c r="Q4" s="47" t="s">
        <v>37</v>
      </c>
      <c r="R4" s="111" t="s">
        <v>36</v>
      </c>
      <c r="S4" s="112"/>
      <c r="T4" s="51" t="s">
        <v>38</v>
      </c>
      <c r="U4" s="105" t="s">
        <v>32</v>
      </c>
      <c r="V4" s="106"/>
      <c r="W4" s="102" t="s">
        <v>45</v>
      </c>
      <c r="X4" s="103"/>
      <c r="Y4" s="104"/>
      <c r="Z4" s="51" t="s">
        <v>33</v>
      </c>
      <c r="AB4" s="51" t="s">
        <v>48</v>
      </c>
    </row>
    <row r="5" spans="1:28" s="4" customFormat="1" ht="77.25" customHeight="1" thickBot="1">
      <c r="A5" s="82"/>
      <c r="B5" s="74"/>
      <c r="C5" s="84"/>
      <c r="D5" s="57" t="s">
        <v>5</v>
      </c>
      <c r="E5" s="58" t="s">
        <v>6</v>
      </c>
      <c r="F5" s="57" t="s">
        <v>0</v>
      </c>
      <c r="G5" s="58" t="s">
        <v>7</v>
      </c>
      <c r="H5" s="59"/>
      <c r="I5" s="59" t="s">
        <v>5</v>
      </c>
      <c r="J5" s="58" t="s">
        <v>6</v>
      </c>
      <c r="K5" s="59" t="s">
        <v>8</v>
      </c>
      <c r="L5" s="60" t="s">
        <v>9</v>
      </c>
      <c r="M5" s="88"/>
      <c r="N5" s="90"/>
      <c r="O5" s="54" t="s">
        <v>30</v>
      </c>
      <c r="P5" s="46" t="s">
        <v>14</v>
      </c>
      <c r="Q5" s="48" t="s">
        <v>44</v>
      </c>
      <c r="R5" s="49" t="s">
        <v>15</v>
      </c>
      <c r="S5" s="50" t="s">
        <v>43</v>
      </c>
      <c r="T5" s="52" t="s">
        <v>12</v>
      </c>
      <c r="U5" s="45" t="s">
        <v>42</v>
      </c>
      <c r="V5" s="65" t="s">
        <v>39</v>
      </c>
      <c r="W5" s="53" t="s">
        <v>46</v>
      </c>
      <c r="X5" s="69" t="s">
        <v>47</v>
      </c>
      <c r="Y5" s="66" t="s">
        <v>40</v>
      </c>
      <c r="Z5" s="52" t="s">
        <v>41</v>
      </c>
      <c r="AB5" s="52" t="s">
        <v>49</v>
      </c>
    </row>
    <row r="6" spans="1:28" s="34" customFormat="1" ht="20.25" customHeight="1">
      <c r="A6" s="23">
        <v>1</v>
      </c>
      <c r="B6" s="24">
        <v>41421</v>
      </c>
      <c r="C6" s="25">
        <v>0.45763888888888887</v>
      </c>
      <c r="D6" s="26">
        <v>173</v>
      </c>
      <c r="E6" s="27">
        <v>173</v>
      </c>
      <c r="F6" s="28">
        <v>0</v>
      </c>
      <c r="G6" s="29">
        <v>0</v>
      </c>
      <c r="H6" s="30"/>
      <c r="I6" s="31">
        <v>1</v>
      </c>
      <c r="J6" s="31">
        <v>1</v>
      </c>
      <c r="K6" s="32">
        <v>0</v>
      </c>
      <c r="L6" s="27">
        <v>8</v>
      </c>
      <c r="M6" s="26"/>
      <c r="N6" s="33"/>
      <c r="O6" s="55">
        <v>0</v>
      </c>
      <c r="P6" s="55">
        <v>0</v>
      </c>
      <c r="Q6" s="61">
        <f t="shared" ref="Q6:Q20" si="0">F6*$F$2/1000*273/(273+L6)</f>
        <v>0</v>
      </c>
      <c r="R6" s="62">
        <f t="shared" ref="R6:R20" si="1">$N$2-K6</f>
        <v>4025</v>
      </c>
      <c r="S6" s="63">
        <f>IF(I6=J6,0,R6*(J6-I6))*273/(273+L6)</f>
        <v>0</v>
      </c>
      <c r="T6" s="71">
        <f t="shared" ref="T6:T24" si="2">T7</f>
        <v>94.203208397674501</v>
      </c>
      <c r="U6" s="61">
        <f>(S6+Q6)*T6/100</f>
        <v>0</v>
      </c>
      <c r="V6" s="64">
        <f>U6/1000</f>
        <v>0</v>
      </c>
      <c r="W6" s="64">
        <f>(G6+K6)/1000</f>
        <v>0</v>
      </c>
      <c r="X6" s="64">
        <v>0</v>
      </c>
      <c r="Y6" s="64">
        <f>(W6-X6)*(E6+1)*1*273/(273+L6)*T6/100</f>
        <v>0</v>
      </c>
      <c r="Z6" s="64">
        <f>V6+Y6</f>
        <v>0</v>
      </c>
      <c r="AB6" s="70">
        <f>E6/10</f>
        <v>17.3</v>
      </c>
    </row>
    <row r="7" spans="1:28" s="40" customFormat="1" ht="20.25" customHeight="1">
      <c r="A7" s="35">
        <f>A6+1</f>
        <v>2</v>
      </c>
      <c r="B7" s="24">
        <v>41421</v>
      </c>
      <c r="C7" s="25">
        <v>0.45763888888888887</v>
      </c>
      <c r="D7" s="26">
        <v>173</v>
      </c>
      <c r="E7" s="27">
        <v>153</v>
      </c>
      <c r="F7" s="36">
        <v>0</v>
      </c>
      <c r="G7" s="29">
        <v>8</v>
      </c>
      <c r="H7" s="37"/>
      <c r="I7" s="31">
        <v>1</v>
      </c>
      <c r="J7" s="31">
        <v>1</v>
      </c>
      <c r="K7" s="32">
        <v>0</v>
      </c>
      <c r="L7" s="27">
        <v>8</v>
      </c>
      <c r="M7" s="38"/>
      <c r="N7" s="39"/>
      <c r="O7" s="61">
        <f t="shared" ref="O7:O20" si="3">((B7 +C7) - (B6 + C6)) * 24 * 60</f>
        <v>0</v>
      </c>
      <c r="P7" s="64">
        <f>P6+O7/60</f>
        <v>0</v>
      </c>
      <c r="Q7" s="61">
        <f t="shared" si="0"/>
        <v>0</v>
      </c>
      <c r="R7" s="62">
        <f t="shared" si="1"/>
        <v>4025</v>
      </c>
      <c r="S7" s="63">
        <f t="shared" ref="S7:S20" si="4">IF(I7=J7,0,R7*(J7-I7))*273/(273+L7)</f>
        <v>0</v>
      </c>
      <c r="T7" s="71">
        <f t="shared" si="2"/>
        <v>94.203208397674501</v>
      </c>
      <c r="U7" s="61">
        <f>(S7+Q7)*T7/100</f>
        <v>0</v>
      </c>
      <c r="V7" s="64">
        <f t="shared" ref="V7:V9" si="5">V6+U7/1000</f>
        <v>0</v>
      </c>
      <c r="W7" s="64">
        <f>W6+(G7+K7)/1000</f>
        <v>8.0000000000000002E-3</v>
      </c>
      <c r="X7" s="72">
        <f>0.026*EXP(-0.016*E7)</f>
        <v>2.2481250057411056E-3</v>
      </c>
      <c r="Y7" s="64">
        <f>(W7-(X7-X6))*(E7+1)*1*273/(273+L7)*T7/100</f>
        <v>0.81068508189654143</v>
      </c>
      <c r="Z7" s="64">
        <f>V7+Y7</f>
        <v>0.81068508189654143</v>
      </c>
      <c r="AB7" s="70">
        <f t="shared" ref="AB7:AB28" si="6">E7/10</f>
        <v>15.3</v>
      </c>
    </row>
    <row r="8" spans="1:28" s="40" customFormat="1" ht="20.25" customHeight="1">
      <c r="A8" s="35">
        <f t="shared" ref="A8:A30" si="7">A7+1</f>
        <v>3</v>
      </c>
      <c r="B8" s="24">
        <v>41421</v>
      </c>
      <c r="C8" s="25">
        <v>0.46180555555555558</v>
      </c>
      <c r="D8" s="26">
        <v>153</v>
      </c>
      <c r="E8" s="27">
        <v>147</v>
      </c>
      <c r="F8" s="36">
        <v>0</v>
      </c>
      <c r="G8" s="29">
        <v>1</v>
      </c>
      <c r="H8" s="37"/>
      <c r="I8" s="31">
        <v>1</v>
      </c>
      <c r="J8" s="31">
        <v>1</v>
      </c>
      <c r="K8" s="32">
        <v>0</v>
      </c>
      <c r="L8" s="27">
        <v>8</v>
      </c>
      <c r="M8" s="38"/>
      <c r="N8" s="39"/>
      <c r="O8" s="61">
        <f t="shared" si="3"/>
        <v>5.9999999986030161</v>
      </c>
      <c r="P8" s="64">
        <f t="shared" ref="P8:P20" si="8">P7+O8/60</f>
        <v>9.9999999976716936E-2</v>
      </c>
      <c r="Q8" s="61">
        <f t="shared" si="0"/>
        <v>0</v>
      </c>
      <c r="R8" s="62">
        <f t="shared" si="1"/>
        <v>4025</v>
      </c>
      <c r="S8" s="63">
        <f t="shared" si="4"/>
        <v>0</v>
      </c>
      <c r="T8" s="71">
        <f t="shared" si="2"/>
        <v>94.203208397674501</v>
      </c>
      <c r="U8" s="61">
        <f t="shared" ref="U8:U20" si="9">(S8+Q8)*T8/100</f>
        <v>0</v>
      </c>
      <c r="V8" s="64">
        <f t="shared" si="5"/>
        <v>0</v>
      </c>
      <c r="W8" s="64">
        <f t="shared" ref="W8:W20" si="10">W7+(G8+K8)/1000</f>
        <v>9.0000000000000011E-3</v>
      </c>
      <c r="X8" s="72">
        <f t="shared" ref="X8:X30" si="11">0.026*EXP(-0.016*E8)</f>
        <v>2.4746439770610383E-3</v>
      </c>
      <c r="Y8" s="64">
        <f t="shared" ref="Y8:Y30" si="12">(W8-(X8-X7))*(E8+1)*1*273/(273+L8)*T8/100</f>
        <v>1.1883809414108779</v>
      </c>
      <c r="Z8" s="64">
        <f t="shared" ref="Z8:Z20" si="13">V8+Y8</f>
        <v>1.1883809414108779</v>
      </c>
      <c r="AB8" s="70">
        <f t="shared" si="6"/>
        <v>14.7</v>
      </c>
    </row>
    <row r="9" spans="1:28" s="40" customFormat="1" ht="20.25" customHeight="1">
      <c r="A9" s="35">
        <f t="shared" si="7"/>
        <v>4</v>
      </c>
      <c r="B9" s="24">
        <v>41421</v>
      </c>
      <c r="C9" s="25">
        <v>0.46319444444444446</v>
      </c>
      <c r="D9" s="26">
        <v>147</v>
      </c>
      <c r="E9" s="27">
        <v>119</v>
      </c>
      <c r="F9" s="36">
        <v>0</v>
      </c>
      <c r="G9" s="29">
        <v>5</v>
      </c>
      <c r="H9" s="37"/>
      <c r="I9" s="31">
        <v>1</v>
      </c>
      <c r="J9" s="31">
        <v>1</v>
      </c>
      <c r="K9" s="32">
        <v>0</v>
      </c>
      <c r="L9" s="27">
        <v>8</v>
      </c>
      <c r="M9" s="38"/>
      <c r="N9" s="39"/>
      <c r="O9" s="61">
        <f t="shared" si="3"/>
        <v>1.9999999960418791</v>
      </c>
      <c r="P9" s="64">
        <f t="shared" si="8"/>
        <v>0.13333333324408159</v>
      </c>
      <c r="Q9" s="61">
        <f t="shared" si="0"/>
        <v>0</v>
      </c>
      <c r="R9" s="62">
        <f t="shared" si="1"/>
        <v>4025</v>
      </c>
      <c r="S9" s="63">
        <f t="shared" si="4"/>
        <v>0</v>
      </c>
      <c r="T9" s="71">
        <f t="shared" si="2"/>
        <v>94.203208397674501</v>
      </c>
      <c r="U9" s="61">
        <f t="shared" si="9"/>
        <v>0</v>
      </c>
      <c r="V9" s="64">
        <f t="shared" si="5"/>
        <v>0</v>
      </c>
      <c r="W9" s="64">
        <f t="shared" si="10"/>
        <v>1.4000000000000002E-2</v>
      </c>
      <c r="X9" s="72">
        <f t="shared" si="11"/>
        <v>3.8732600322232387E-3</v>
      </c>
      <c r="Y9" s="64">
        <f t="shared" si="12"/>
        <v>1.3839535422675737</v>
      </c>
      <c r="Z9" s="64">
        <f t="shared" si="13"/>
        <v>1.3839535422675737</v>
      </c>
      <c r="AB9" s="70">
        <f t="shared" si="6"/>
        <v>11.9</v>
      </c>
    </row>
    <row r="10" spans="1:28" s="40" customFormat="1" ht="20.25" customHeight="1">
      <c r="A10" s="35">
        <f t="shared" si="7"/>
        <v>5</v>
      </c>
      <c r="B10" s="24">
        <v>41421</v>
      </c>
      <c r="C10" s="25">
        <v>0.46458333333333335</v>
      </c>
      <c r="D10" s="26">
        <v>119</v>
      </c>
      <c r="E10" s="27">
        <v>112</v>
      </c>
      <c r="F10" s="36">
        <v>0</v>
      </c>
      <c r="G10" s="29">
        <v>3</v>
      </c>
      <c r="H10" s="37"/>
      <c r="I10" s="31">
        <v>1</v>
      </c>
      <c r="J10" s="31">
        <v>1</v>
      </c>
      <c r="K10" s="32">
        <v>0</v>
      </c>
      <c r="L10" s="27">
        <v>8</v>
      </c>
      <c r="M10" s="38"/>
      <c r="N10" s="39"/>
      <c r="O10" s="61">
        <f t="shared" si="3"/>
        <v>2.000000006519258</v>
      </c>
      <c r="P10" s="64">
        <f t="shared" si="8"/>
        <v>0.16666666668606922</v>
      </c>
      <c r="Q10" s="61">
        <f t="shared" si="0"/>
        <v>0</v>
      </c>
      <c r="R10" s="62">
        <f t="shared" si="1"/>
        <v>4025</v>
      </c>
      <c r="S10" s="63">
        <f t="shared" si="4"/>
        <v>0</v>
      </c>
      <c r="T10" s="71">
        <f t="shared" si="2"/>
        <v>94.203208397674501</v>
      </c>
      <c r="U10" s="61">
        <f t="shared" si="9"/>
        <v>0</v>
      </c>
      <c r="V10" s="64">
        <f>V9+U10/1000</f>
        <v>0</v>
      </c>
      <c r="W10" s="64">
        <f t="shared" si="10"/>
        <v>1.7000000000000001E-2</v>
      </c>
      <c r="X10" s="72">
        <f t="shared" si="11"/>
        <v>4.3322911586641342E-3</v>
      </c>
      <c r="Y10" s="64">
        <f t="shared" si="12"/>
        <v>1.7106509755065202</v>
      </c>
      <c r="Z10" s="64">
        <f t="shared" si="13"/>
        <v>1.7106509755065202</v>
      </c>
      <c r="AB10" s="70">
        <f t="shared" si="6"/>
        <v>11.2</v>
      </c>
    </row>
    <row r="11" spans="1:28" s="40" customFormat="1" ht="20.25" customHeight="1">
      <c r="A11" s="35">
        <f t="shared" si="7"/>
        <v>6</v>
      </c>
      <c r="B11" s="24">
        <v>41421</v>
      </c>
      <c r="C11" s="25">
        <v>0.46597222222222223</v>
      </c>
      <c r="D11" s="26">
        <v>112</v>
      </c>
      <c r="E11" s="27">
        <v>103</v>
      </c>
      <c r="F11" s="36">
        <v>0</v>
      </c>
      <c r="G11" s="29">
        <v>1</v>
      </c>
      <c r="H11" s="37"/>
      <c r="I11" s="31">
        <v>1</v>
      </c>
      <c r="J11" s="31">
        <v>1</v>
      </c>
      <c r="K11" s="32">
        <v>0</v>
      </c>
      <c r="L11" s="27">
        <v>8</v>
      </c>
      <c r="M11" s="38"/>
      <c r="N11" s="39"/>
      <c r="O11" s="61">
        <f t="shared" si="3"/>
        <v>1.9999999960418791</v>
      </c>
      <c r="P11" s="64">
        <f t="shared" si="8"/>
        <v>0.19999999995343387</v>
      </c>
      <c r="Q11" s="61">
        <f t="shared" si="0"/>
        <v>0</v>
      </c>
      <c r="R11" s="62">
        <f t="shared" si="1"/>
        <v>4025</v>
      </c>
      <c r="S11" s="63">
        <f t="shared" si="4"/>
        <v>0</v>
      </c>
      <c r="T11" s="71">
        <f t="shared" si="2"/>
        <v>94.203208397674501</v>
      </c>
      <c r="U11" s="61">
        <f t="shared" si="9"/>
        <v>0</v>
      </c>
      <c r="V11" s="64">
        <f t="shared" ref="V11:V20" si="14">V10+U11/1000</f>
        <v>0</v>
      </c>
      <c r="W11" s="64">
        <f t="shared" si="10"/>
        <v>1.8000000000000002E-2</v>
      </c>
      <c r="X11" s="72">
        <f t="shared" si="11"/>
        <v>5.0032942126441941E-3</v>
      </c>
      <c r="Y11" s="64">
        <f t="shared" si="12"/>
        <v>1.6494106179703447</v>
      </c>
      <c r="Z11" s="64">
        <f t="shared" si="13"/>
        <v>1.6494106179703447</v>
      </c>
      <c r="AB11" s="70">
        <f t="shared" si="6"/>
        <v>10.3</v>
      </c>
    </row>
    <row r="12" spans="1:28" s="40" customFormat="1" ht="20.25" customHeight="1">
      <c r="A12" s="35">
        <f t="shared" si="7"/>
        <v>7</v>
      </c>
      <c r="B12" s="24">
        <v>41421</v>
      </c>
      <c r="C12" s="25">
        <v>0.49652777777777773</v>
      </c>
      <c r="D12" s="26">
        <v>103</v>
      </c>
      <c r="E12" s="27">
        <v>74</v>
      </c>
      <c r="F12" s="36">
        <v>0</v>
      </c>
      <c r="G12" s="29">
        <v>2</v>
      </c>
      <c r="H12" s="37"/>
      <c r="I12" s="31">
        <v>1</v>
      </c>
      <c r="J12" s="31">
        <v>1</v>
      </c>
      <c r="K12" s="32">
        <v>0</v>
      </c>
      <c r="L12" s="27">
        <v>8</v>
      </c>
      <c r="M12" s="38"/>
      <c r="N12" s="39"/>
      <c r="O12" s="61">
        <f t="shared" si="3"/>
        <v>44.00000000721775</v>
      </c>
      <c r="P12" s="64">
        <f t="shared" si="8"/>
        <v>0.93333333340706304</v>
      </c>
      <c r="Q12" s="61">
        <f t="shared" si="0"/>
        <v>0</v>
      </c>
      <c r="R12" s="62">
        <f t="shared" si="1"/>
        <v>4025</v>
      </c>
      <c r="S12" s="63">
        <f t="shared" si="4"/>
        <v>0</v>
      </c>
      <c r="T12" s="71">
        <f t="shared" si="2"/>
        <v>94.203208397674501</v>
      </c>
      <c r="U12" s="61">
        <f t="shared" si="9"/>
        <v>0</v>
      </c>
      <c r="V12" s="64">
        <f t="shared" si="14"/>
        <v>0</v>
      </c>
      <c r="W12" s="64">
        <f t="shared" si="10"/>
        <v>2.0000000000000004E-2</v>
      </c>
      <c r="X12" s="72">
        <f t="shared" si="11"/>
        <v>7.957354043659038E-3</v>
      </c>
      <c r="Y12" s="64">
        <f t="shared" si="12"/>
        <v>1.1700495249875009</v>
      </c>
      <c r="Z12" s="64">
        <f t="shared" si="13"/>
        <v>1.1700495249875009</v>
      </c>
      <c r="AB12" s="70">
        <f t="shared" si="6"/>
        <v>7.4</v>
      </c>
    </row>
    <row r="13" spans="1:28" s="40" customFormat="1" ht="20.25" customHeight="1">
      <c r="A13" s="35">
        <f t="shared" si="7"/>
        <v>8</v>
      </c>
      <c r="B13" s="24">
        <v>41421</v>
      </c>
      <c r="C13" s="25">
        <v>0.50347222222222221</v>
      </c>
      <c r="D13" s="26">
        <v>75</v>
      </c>
      <c r="E13" s="27">
        <v>73</v>
      </c>
      <c r="F13" s="36">
        <v>0</v>
      </c>
      <c r="G13" s="29">
        <v>2</v>
      </c>
      <c r="H13" s="37"/>
      <c r="I13" s="31">
        <v>1</v>
      </c>
      <c r="J13" s="31">
        <v>1</v>
      </c>
      <c r="K13" s="32">
        <v>0</v>
      </c>
      <c r="L13" s="27">
        <v>8</v>
      </c>
      <c r="M13" s="38"/>
      <c r="N13" s="39"/>
      <c r="O13" s="61">
        <f t="shared" si="3"/>
        <v>9.9999999906867743</v>
      </c>
      <c r="P13" s="64">
        <f t="shared" si="8"/>
        <v>1.0999999999185093</v>
      </c>
      <c r="Q13" s="61">
        <f t="shared" si="0"/>
        <v>0</v>
      </c>
      <c r="R13" s="62">
        <f t="shared" si="1"/>
        <v>4025</v>
      </c>
      <c r="S13" s="63">
        <f t="shared" si="4"/>
        <v>0</v>
      </c>
      <c r="T13" s="71">
        <f t="shared" si="2"/>
        <v>94.203208397674501</v>
      </c>
      <c r="U13" s="61">
        <f t="shared" si="9"/>
        <v>0</v>
      </c>
      <c r="V13" s="64">
        <f t="shared" si="14"/>
        <v>0</v>
      </c>
      <c r="W13" s="64">
        <f t="shared" si="10"/>
        <v>2.2000000000000006E-2</v>
      </c>
      <c r="X13" s="72">
        <f t="shared" si="11"/>
        <v>8.0856957036941311E-3</v>
      </c>
      <c r="Y13" s="64">
        <f t="shared" si="12"/>
        <v>1.4812741854287084</v>
      </c>
      <c r="Z13" s="64">
        <f t="shared" si="13"/>
        <v>1.4812741854287084</v>
      </c>
      <c r="AB13" s="70">
        <f t="shared" si="6"/>
        <v>7.3</v>
      </c>
    </row>
    <row r="14" spans="1:28" s="40" customFormat="1" ht="20.25" customHeight="1">
      <c r="A14" s="35">
        <f t="shared" si="7"/>
        <v>9</v>
      </c>
      <c r="B14" s="24">
        <v>41421</v>
      </c>
      <c r="C14" s="25">
        <v>0.51111111111111118</v>
      </c>
      <c r="D14" s="26">
        <v>73</v>
      </c>
      <c r="E14" s="27">
        <v>68</v>
      </c>
      <c r="F14" s="36">
        <v>0</v>
      </c>
      <c r="G14" s="29">
        <v>1</v>
      </c>
      <c r="H14" s="37"/>
      <c r="I14" s="31">
        <v>1</v>
      </c>
      <c r="J14" s="31">
        <v>1</v>
      </c>
      <c r="K14" s="32">
        <v>0</v>
      </c>
      <c r="L14" s="27">
        <v>8</v>
      </c>
      <c r="M14" s="38"/>
      <c r="N14" s="39"/>
      <c r="O14" s="61">
        <f t="shared" si="3"/>
        <v>11.000000004423782</v>
      </c>
      <c r="P14" s="64">
        <f t="shared" si="8"/>
        <v>1.2833333333255723</v>
      </c>
      <c r="Q14" s="61">
        <f t="shared" si="0"/>
        <v>0</v>
      </c>
      <c r="R14" s="62">
        <f t="shared" si="1"/>
        <v>4025</v>
      </c>
      <c r="S14" s="63">
        <f t="shared" si="4"/>
        <v>0</v>
      </c>
      <c r="T14" s="71">
        <f t="shared" si="2"/>
        <v>94.203208397674501</v>
      </c>
      <c r="U14" s="61">
        <f t="shared" si="9"/>
        <v>0</v>
      </c>
      <c r="V14" s="64">
        <f t="shared" si="14"/>
        <v>0</v>
      </c>
      <c r="W14" s="64">
        <f t="shared" si="10"/>
        <v>2.3000000000000007E-2</v>
      </c>
      <c r="X14" s="72">
        <f t="shared" si="11"/>
        <v>8.7591295889668241E-3</v>
      </c>
      <c r="Y14" s="64">
        <f t="shared" si="12"/>
        <v>1.4099153694494317</v>
      </c>
      <c r="Z14" s="64">
        <f t="shared" si="13"/>
        <v>1.4099153694494317</v>
      </c>
      <c r="AB14" s="70">
        <f t="shared" si="6"/>
        <v>6.8</v>
      </c>
    </row>
    <row r="15" spans="1:28" s="40" customFormat="1" ht="20.25" customHeight="1">
      <c r="A15" s="35">
        <f t="shared" si="7"/>
        <v>10</v>
      </c>
      <c r="B15" s="24">
        <v>41421</v>
      </c>
      <c r="C15" s="25">
        <v>0.56874999999999998</v>
      </c>
      <c r="D15" s="26">
        <v>67</v>
      </c>
      <c r="E15" s="27">
        <v>66</v>
      </c>
      <c r="F15" s="36">
        <v>0</v>
      </c>
      <c r="G15" s="29">
        <v>1</v>
      </c>
      <c r="H15" s="37"/>
      <c r="I15" s="31">
        <v>1</v>
      </c>
      <c r="J15" s="31">
        <v>1</v>
      </c>
      <c r="K15" s="32">
        <v>0</v>
      </c>
      <c r="L15" s="27">
        <v>8</v>
      </c>
      <c r="M15" s="38"/>
      <c r="N15" s="39"/>
      <c r="O15" s="61">
        <f t="shared" si="3"/>
        <v>82.999999998137355</v>
      </c>
      <c r="P15" s="64">
        <f t="shared" si="8"/>
        <v>2.6666666666278616</v>
      </c>
      <c r="Q15" s="61">
        <f t="shared" si="0"/>
        <v>0</v>
      </c>
      <c r="R15" s="62">
        <f t="shared" si="1"/>
        <v>4025</v>
      </c>
      <c r="S15" s="63">
        <f t="shared" si="4"/>
        <v>0</v>
      </c>
      <c r="T15" s="71">
        <f t="shared" si="2"/>
        <v>94.203208397674501</v>
      </c>
      <c r="U15" s="61">
        <f t="shared" si="9"/>
        <v>0</v>
      </c>
      <c r="V15" s="64">
        <f t="shared" si="14"/>
        <v>0</v>
      </c>
      <c r="W15" s="64">
        <f t="shared" si="10"/>
        <v>2.4000000000000007E-2</v>
      </c>
      <c r="X15" s="72">
        <f t="shared" si="11"/>
        <v>9.0439546318442712E-3</v>
      </c>
      <c r="Y15" s="64">
        <f t="shared" si="12"/>
        <v>1.4541967080640634</v>
      </c>
      <c r="Z15" s="64">
        <f t="shared" si="13"/>
        <v>1.4541967080640634</v>
      </c>
      <c r="AB15" s="70">
        <f t="shared" si="6"/>
        <v>6.6</v>
      </c>
    </row>
    <row r="16" spans="1:28" s="40" customFormat="1" ht="20.25" customHeight="1">
      <c r="A16" s="35">
        <f t="shared" si="7"/>
        <v>11</v>
      </c>
      <c r="B16" s="24">
        <v>41421</v>
      </c>
      <c r="C16" s="25">
        <v>0.75555555555555554</v>
      </c>
      <c r="D16" s="26">
        <v>65</v>
      </c>
      <c r="E16" s="27">
        <v>65</v>
      </c>
      <c r="F16" s="36">
        <v>0</v>
      </c>
      <c r="G16" s="29">
        <v>0</v>
      </c>
      <c r="H16" s="37"/>
      <c r="I16" s="31">
        <v>1</v>
      </c>
      <c r="J16" s="31">
        <v>1</v>
      </c>
      <c r="K16" s="32">
        <v>0</v>
      </c>
      <c r="L16" s="27">
        <v>8</v>
      </c>
      <c r="M16" s="38"/>
      <c r="N16" s="39"/>
      <c r="O16" s="61">
        <f t="shared" si="3"/>
        <v>269.00000000721775</v>
      </c>
      <c r="P16" s="64">
        <f t="shared" si="8"/>
        <v>7.1500000000814907</v>
      </c>
      <c r="Q16" s="61">
        <f t="shared" si="0"/>
        <v>0</v>
      </c>
      <c r="R16" s="62">
        <f t="shared" si="1"/>
        <v>4025</v>
      </c>
      <c r="S16" s="63">
        <f t="shared" si="4"/>
        <v>0</v>
      </c>
      <c r="T16" s="71">
        <f t="shared" si="2"/>
        <v>94.203208397674501</v>
      </c>
      <c r="U16" s="61">
        <f t="shared" si="9"/>
        <v>0</v>
      </c>
      <c r="V16" s="64">
        <f t="shared" si="14"/>
        <v>0</v>
      </c>
      <c r="W16" s="64">
        <f t="shared" si="10"/>
        <v>2.4000000000000007E-2</v>
      </c>
      <c r="X16" s="72">
        <f t="shared" si="11"/>
        <v>9.189821730928284E-3</v>
      </c>
      <c r="Y16" s="64">
        <f t="shared" si="12"/>
        <v>1.4408859002115741</v>
      </c>
      <c r="Z16" s="64">
        <f t="shared" si="13"/>
        <v>1.4408859002115741</v>
      </c>
      <c r="AB16" s="70">
        <f t="shared" si="6"/>
        <v>6.5</v>
      </c>
    </row>
    <row r="17" spans="1:28" s="40" customFormat="1" ht="20.25" customHeight="1">
      <c r="A17" s="35">
        <f t="shared" si="7"/>
        <v>12</v>
      </c>
      <c r="B17" s="24">
        <v>41421</v>
      </c>
      <c r="C17" s="25">
        <v>0.89236111111111116</v>
      </c>
      <c r="D17" s="26">
        <v>65</v>
      </c>
      <c r="E17" s="27">
        <v>52</v>
      </c>
      <c r="F17" s="36">
        <v>0</v>
      </c>
      <c r="G17" s="29">
        <v>1</v>
      </c>
      <c r="H17" s="37"/>
      <c r="I17" s="31">
        <v>1</v>
      </c>
      <c r="J17" s="31">
        <v>1</v>
      </c>
      <c r="K17" s="32">
        <v>0</v>
      </c>
      <c r="L17" s="27">
        <v>8</v>
      </c>
      <c r="M17" s="38"/>
      <c r="N17" s="39"/>
      <c r="O17" s="61">
        <f t="shared" si="3"/>
        <v>196.99999999254942</v>
      </c>
      <c r="P17" s="64">
        <f t="shared" si="8"/>
        <v>10.433333333290648</v>
      </c>
      <c r="Q17" s="61">
        <f t="shared" si="0"/>
        <v>0</v>
      </c>
      <c r="R17" s="62">
        <f t="shared" si="1"/>
        <v>4025</v>
      </c>
      <c r="S17" s="63">
        <f t="shared" si="4"/>
        <v>0</v>
      </c>
      <c r="T17" s="71">
        <f t="shared" si="2"/>
        <v>94.203208397674501</v>
      </c>
      <c r="U17" s="61">
        <f t="shared" si="9"/>
        <v>0</v>
      </c>
      <c r="V17" s="64">
        <f t="shared" si="14"/>
        <v>0</v>
      </c>
      <c r="W17" s="64">
        <f t="shared" si="10"/>
        <v>2.5000000000000008E-2</v>
      </c>
      <c r="X17" s="72">
        <f t="shared" si="11"/>
        <v>1.1314629540925273E-2</v>
      </c>
      <c r="Y17" s="64">
        <f t="shared" si="12"/>
        <v>1.1095902774114748</v>
      </c>
      <c r="Z17" s="64">
        <f t="shared" si="13"/>
        <v>1.1095902774114748</v>
      </c>
      <c r="AB17" s="70">
        <f t="shared" si="6"/>
        <v>5.2</v>
      </c>
    </row>
    <row r="18" spans="1:28" s="40" customFormat="1" ht="20.25" customHeight="1">
      <c r="A18" s="35">
        <f t="shared" si="7"/>
        <v>13</v>
      </c>
      <c r="B18" s="24">
        <v>41422</v>
      </c>
      <c r="C18" s="25">
        <v>0.2673611111111111</v>
      </c>
      <c r="D18" s="26">
        <v>59</v>
      </c>
      <c r="E18" s="27">
        <v>48</v>
      </c>
      <c r="F18" s="36">
        <v>0</v>
      </c>
      <c r="G18" s="29">
        <v>3</v>
      </c>
      <c r="H18" s="37"/>
      <c r="I18" s="31">
        <v>1</v>
      </c>
      <c r="J18" s="31">
        <v>1</v>
      </c>
      <c r="K18" s="32">
        <v>0</v>
      </c>
      <c r="L18" s="27">
        <v>8</v>
      </c>
      <c r="M18" s="38"/>
      <c r="N18" s="39"/>
      <c r="O18" s="61">
        <f t="shared" si="3"/>
        <v>540</v>
      </c>
      <c r="P18" s="64">
        <f t="shared" si="8"/>
        <v>19.433333333290648</v>
      </c>
      <c r="Q18" s="61">
        <f t="shared" si="0"/>
        <v>0</v>
      </c>
      <c r="R18" s="62">
        <f t="shared" si="1"/>
        <v>4025</v>
      </c>
      <c r="S18" s="63">
        <f t="shared" si="4"/>
        <v>0</v>
      </c>
      <c r="T18" s="71">
        <f t="shared" si="2"/>
        <v>94.203208397674501</v>
      </c>
      <c r="U18" s="61">
        <f t="shared" si="9"/>
        <v>0</v>
      </c>
      <c r="V18" s="64">
        <f t="shared" si="14"/>
        <v>0</v>
      </c>
      <c r="W18" s="64">
        <f t="shared" si="10"/>
        <v>2.8000000000000008E-2</v>
      </c>
      <c r="X18" s="72">
        <f t="shared" si="11"/>
        <v>1.2062440548382814E-2</v>
      </c>
      <c r="Y18" s="64">
        <f t="shared" si="12"/>
        <v>1.2221358775206994</v>
      </c>
      <c r="Z18" s="64">
        <f t="shared" si="13"/>
        <v>1.2221358775206994</v>
      </c>
      <c r="AB18" s="70">
        <f t="shared" si="6"/>
        <v>4.8</v>
      </c>
    </row>
    <row r="19" spans="1:28" s="40" customFormat="1" ht="20.25" customHeight="1">
      <c r="A19" s="35">
        <f t="shared" si="7"/>
        <v>14</v>
      </c>
      <c r="B19" s="24">
        <v>41423</v>
      </c>
      <c r="C19" s="25">
        <v>0.3125</v>
      </c>
      <c r="D19" s="26">
        <v>56</v>
      </c>
      <c r="E19" s="27">
        <v>43</v>
      </c>
      <c r="F19" s="36">
        <v>0</v>
      </c>
      <c r="G19" s="29">
        <v>1</v>
      </c>
      <c r="H19" s="37"/>
      <c r="I19" s="31">
        <v>1</v>
      </c>
      <c r="J19" s="31">
        <v>1</v>
      </c>
      <c r="K19" s="32">
        <v>0</v>
      </c>
      <c r="L19" s="27">
        <v>8</v>
      </c>
      <c r="M19" s="38"/>
      <c r="N19" s="39"/>
      <c r="O19" s="61">
        <f t="shared" si="3"/>
        <v>1505.0000000023283</v>
      </c>
      <c r="P19" s="64">
        <f t="shared" si="8"/>
        <v>44.516666666662786</v>
      </c>
      <c r="Q19" s="61">
        <f t="shared" si="0"/>
        <v>0</v>
      </c>
      <c r="R19" s="62">
        <f t="shared" si="1"/>
        <v>4025</v>
      </c>
      <c r="S19" s="63">
        <f t="shared" si="4"/>
        <v>0</v>
      </c>
      <c r="T19" s="71">
        <f t="shared" si="2"/>
        <v>94.203208397674501</v>
      </c>
      <c r="U19" s="61">
        <f t="shared" si="9"/>
        <v>0</v>
      </c>
      <c r="V19" s="64">
        <f t="shared" si="14"/>
        <v>0</v>
      </c>
      <c r="W19" s="64">
        <f t="shared" si="10"/>
        <v>2.9000000000000008E-2</v>
      </c>
      <c r="X19" s="72">
        <f t="shared" si="11"/>
        <v>1.3067085850661136E-2</v>
      </c>
      <c r="Y19" s="64">
        <f t="shared" si="12"/>
        <v>1.1273549402088461</v>
      </c>
      <c r="Z19" s="64">
        <f t="shared" si="13"/>
        <v>1.1273549402088461</v>
      </c>
      <c r="AB19" s="70">
        <f t="shared" si="6"/>
        <v>4.3</v>
      </c>
    </row>
    <row r="20" spans="1:28" s="40" customFormat="1" ht="20.25" customHeight="1">
      <c r="A20" s="35">
        <f t="shared" si="7"/>
        <v>15</v>
      </c>
      <c r="B20" s="24">
        <v>41424</v>
      </c>
      <c r="C20" s="25">
        <v>0.26597222222222222</v>
      </c>
      <c r="D20" s="26">
        <v>55</v>
      </c>
      <c r="E20" s="27">
        <v>44</v>
      </c>
      <c r="F20" s="36">
        <v>0</v>
      </c>
      <c r="G20" s="29">
        <v>21</v>
      </c>
      <c r="H20" s="37"/>
      <c r="I20" s="31">
        <v>1</v>
      </c>
      <c r="J20" s="31">
        <v>1</v>
      </c>
      <c r="K20" s="32">
        <v>0</v>
      </c>
      <c r="L20" s="27">
        <v>8</v>
      </c>
      <c r="M20" s="38"/>
      <c r="N20" s="39"/>
      <c r="O20" s="61">
        <f t="shared" si="3"/>
        <v>1373.0000000016298</v>
      </c>
      <c r="P20" s="64">
        <f t="shared" si="8"/>
        <v>67.400000000023283</v>
      </c>
      <c r="Q20" s="61">
        <f t="shared" si="0"/>
        <v>0</v>
      </c>
      <c r="R20" s="62">
        <f t="shared" si="1"/>
        <v>4025</v>
      </c>
      <c r="S20" s="63">
        <f t="shared" si="4"/>
        <v>0</v>
      </c>
      <c r="T20" s="71">
        <f t="shared" si="2"/>
        <v>94.203208397674501</v>
      </c>
      <c r="U20" s="61">
        <f t="shared" si="9"/>
        <v>0</v>
      </c>
      <c r="V20" s="64">
        <f t="shared" si="14"/>
        <v>0</v>
      </c>
      <c r="W20" s="64">
        <f t="shared" si="10"/>
        <v>5.000000000000001E-2</v>
      </c>
      <c r="X20" s="72">
        <f t="shared" si="11"/>
        <v>1.2859676179143482E-2</v>
      </c>
      <c r="Y20" s="64">
        <f t="shared" si="12"/>
        <v>2.067770574857398</v>
      </c>
      <c r="Z20" s="64">
        <f t="shared" si="13"/>
        <v>2.067770574857398</v>
      </c>
      <c r="AB20" s="70">
        <f t="shared" si="6"/>
        <v>4.4000000000000004</v>
      </c>
    </row>
    <row r="21" spans="1:28" s="40" customFormat="1" ht="20.25" customHeight="1">
      <c r="A21" s="35">
        <f t="shared" si="7"/>
        <v>16</v>
      </c>
      <c r="B21" s="24">
        <v>41424</v>
      </c>
      <c r="C21" s="25">
        <v>0.7909722222222223</v>
      </c>
      <c r="D21" s="26">
        <v>57</v>
      </c>
      <c r="E21" s="27">
        <v>42</v>
      </c>
      <c r="F21" s="36">
        <v>0</v>
      </c>
      <c r="G21" s="29">
        <v>3</v>
      </c>
      <c r="H21" s="37"/>
      <c r="I21" s="31">
        <v>1</v>
      </c>
      <c r="J21" s="31">
        <v>1</v>
      </c>
      <c r="K21" s="32">
        <v>0</v>
      </c>
      <c r="L21" s="27">
        <v>8</v>
      </c>
      <c r="M21" s="38"/>
      <c r="N21" s="39"/>
      <c r="O21" s="61">
        <f t="shared" ref="O21:O28" si="15">((B21 +C21) - (B20 + C20)) * 24 * 60</f>
        <v>756.00000000209548</v>
      </c>
      <c r="P21" s="64">
        <f t="shared" ref="P21:P28" si="16">P20+O21/60</f>
        <v>80.000000000058208</v>
      </c>
      <c r="Q21" s="61">
        <f t="shared" ref="Q21:Q28" si="17">F21*$F$2/1000*273/(273+L21)</f>
        <v>0</v>
      </c>
      <c r="R21" s="62">
        <f t="shared" ref="R21:R28" si="18">$N$2-K21</f>
        <v>4025</v>
      </c>
      <c r="S21" s="63">
        <f t="shared" ref="S21:S28" si="19">IF(I21=J21,0,R21*(J21-I21))*273/(273+L21)</f>
        <v>0</v>
      </c>
      <c r="T21" s="71">
        <f t="shared" si="2"/>
        <v>94.203208397674501</v>
      </c>
      <c r="U21" s="61">
        <f t="shared" ref="U21:U28" si="20">(S21+Q21)*T21/100</f>
        <v>0</v>
      </c>
      <c r="V21" s="64">
        <f t="shared" ref="V21:V28" si="21">V20+U21/1000</f>
        <v>0</v>
      </c>
      <c r="W21" s="64">
        <f t="shared" ref="W21:W28" si="22">W20+(G21+K21)/1000</f>
        <v>5.3000000000000012E-2</v>
      </c>
      <c r="X21" s="72">
        <f t="shared" si="11"/>
        <v>1.3277840767520884E-2</v>
      </c>
      <c r="Y21" s="64">
        <f t="shared" si="12"/>
        <v>2.0693131543475083</v>
      </c>
      <c r="Z21" s="64">
        <f t="shared" ref="Z21:Z28" si="23">V21+Y21</f>
        <v>2.0693131543475083</v>
      </c>
      <c r="AB21" s="70">
        <f t="shared" si="6"/>
        <v>4.2</v>
      </c>
    </row>
    <row r="22" spans="1:28" ht="20.25" customHeight="1">
      <c r="A22" s="35">
        <f t="shared" si="7"/>
        <v>17</v>
      </c>
      <c r="B22" s="24">
        <v>41425</v>
      </c>
      <c r="C22" s="25">
        <v>0.27986111111111112</v>
      </c>
      <c r="D22" s="26">
        <v>51</v>
      </c>
      <c r="E22" s="27">
        <v>39</v>
      </c>
      <c r="F22" s="36">
        <v>0</v>
      </c>
      <c r="G22" s="29">
        <v>8</v>
      </c>
      <c r="H22" s="37"/>
      <c r="I22" s="31">
        <v>1</v>
      </c>
      <c r="J22" s="31">
        <v>1</v>
      </c>
      <c r="K22" s="32">
        <v>0</v>
      </c>
      <c r="L22" s="27">
        <v>8</v>
      </c>
      <c r="M22" s="38"/>
      <c r="N22" s="39"/>
      <c r="O22" s="61">
        <f t="shared" si="15"/>
        <v>704.00000000023283</v>
      </c>
      <c r="P22" s="64">
        <f t="shared" si="16"/>
        <v>91.733333333395422</v>
      </c>
      <c r="Q22" s="61">
        <f t="shared" si="17"/>
        <v>0</v>
      </c>
      <c r="R22" s="62">
        <f t="shared" si="18"/>
        <v>4025</v>
      </c>
      <c r="S22" s="63">
        <f t="shared" si="19"/>
        <v>0</v>
      </c>
      <c r="T22" s="71">
        <f t="shared" si="2"/>
        <v>94.203208397674501</v>
      </c>
      <c r="U22" s="61">
        <f t="shared" si="20"/>
        <v>0</v>
      </c>
      <c r="V22" s="64">
        <f t="shared" si="21"/>
        <v>0</v>
      </c>
      <c r="W22" s="64">
        <f t="shared" si="22"/>
        <v>6.1000000000000013E-2</v>
      </c>
      <c r="X22" s="72">
        <f t="shared" si="11"/>
        <v>1.3930720899353856E-2</v>
      </c>
      <c r="Y22" s="64">
        <f t="shared" si="12"/>
        <v>2.2092179365058002</v>
      </c>
      <c r="Z22" s="64">
        <f t="shared" si="23"/>
        <v>2.2092179365058002</v>
      </c>
      <c r="AB22" s="70">
        <f t="shared" si="6"/>
        <v>3.9</v>
      </c>
    </row>
    <row r="23" spans="1:28" ht="20.25" customHeight="1">
      <c r="A23" s="35">
        <f t="shared" si="7"/>
        <v>18</v>
      </c>
      <c r="B23" s="24">
        <v>41425</v>
      </c>
      <c r="C23" s="25">
        <v>0.46736111111111112</v>
      </c>
      <c r="D23" s="26">
        <v>54</v>
      </c>
      <c r="E23" s="27">
        <v>39</v>
      </c>
      <c r="F23" s="36">
        <v>0</v>
      </c>
      <c r="G23" s="29">
        <v>12</v>
      </c>
      <c r="H23" s="37"/>
      <c r="I23" s="31">
        <v>1</v>
      </c>
      <c r="J23" s="31">
        <v>1</v>
      </c>
      <c r="K23" s="32">
        <v>0</v>
      </c>
      <c r="L23" s="27">
        <v>8</v>
      </c>
      <c r="M23" s="38"/>
      <c r="N23" s="39"/>
      <c r="O23" s="61">
        <f t="shared" si="15"/>
        <v>270</v>
      </c>
      <c r="P23" s="64">
        <f t="shared" si="16"/>
        <v>96.233333333395422</v>
      </c>
      <c r="Q23" s="61">
        <f t="shared" si="17"/>
        <v>0</v>
      </c>
      <c r="R23" s="62">
        <f t="shared" si="18"/>
        <v>4025</v>
      </c>
      <c r="S23" s="63">
        <f t="shared" si="19"/>
        <v>0</v>
      </c>
      <c r="T23" s="71">
        <f t="shared" si="2"/>
        <v>94.203208397674501</v>
      </c>
      <c r="U23" s="61">
        <f t="shared" si="20"/>
        <v>0</v>
      </c>
      <c r="V23" s="64">
        <f t="shared" si="21"/>
        <v>0</v>
      </c>
      <c r="W23" s="64">
        <f t="shared" si="22"/>
        <v>7.3000000000000009E-2</v>
      </c>
      <c r="X23" s="72">
        <f t="shared" si="11"/>
        <v>1.3930720899353856E-2</v>
      </c>
      <c r="Y23" s="64">
        <f t="shared" si="12"/>
        <v>2.6724209824302569</v>
      </c>
      <c r="Z23" s="64">
        <f t="shared" si="23"/>
        <v>2.6724209824302569</v>
      </c>
      <c r="AB23" s="70">
        <f t="shared" si="6"/>
        <v>3.9</v>
      </c>
    </row>
    <row r="24" spans="1:28" ht="20.25" customHeight="1">
      <c r="A24" s="35">
        <f t="shared" si="7"/>
        <v>19</v>
      </c>
      <c r="B24" s="24">
        <v>41425</v>
      </c>
      <c r="C24" s="25">
        <v>0.6875</v>
      </c>
      <c r="D24" s="26">
        <v>55</v>
      </c>
      <c r="E24" s="27">
        <v>38</v>
      </c>
      <c r="F24" s="36">
        <v>0</v>
      </c>
      <c r="G24" s="29">
        <v>22</v>
      </c>
      <c r="H24" s="37"/>
      <c r="I24" s="31">
        <v>1</v>
      </c>
      <c r="J24" s="31">
        <v>1</v>
      </c>
      <c r="K24" s="32">
        <v>0</v>
      </c>
      <c r="L24" s="27">
        <v>8</v>
      </c>
      <c r="M24" s="38"/>
      <c r="N24" s="39"/>
      <c r="O24" s="61">
        <f t="shared" si="15"/>
        <v>316.99999999604188</v>
      </c>
      <c r="P24" s="64">
        <f t="shared" si="16"/>
        <v>101.51666666666279</v>
      </c>
      <c r="Q24" s="61">
        <f t="shared" si="17"/>
        <v>0</v>
      </c>
      <c r="R24" s="62">
        <f t="shared" si="18"/>
        <v>4025</v>
      </c>
      <c r="S24" s="63">
        <f t="shared" si="19"/>
        <v>0</v>
      </c>
      <c r="T24" s="71">
        <f t="shared" si="2"/>
        <v>94.203208397674501</v>
      </c>
      <c r="U24" s="61">
        <f t="shared" si="20"/>
        <v>0</v>
      </c>
      <c r="V24" s="64">
        <f t="shared" si="21"/>
        <v>0</v>
      </c>
      <c r="W24" s="64">
        <f t="shared" si="22"/>
        <v>9.5000000000000001E-2</v>
      </c>
      <c r="X24" s="72">
        <f t="shared" si="11"/>
        <v>1.4155405114219644E-2</v>
      </c>
      <c r="Y24" s="64">
        <f t="shared" si="12"/>
        <v>3.3828432048990407</v>
      </c>
      <c r="Z24" s="64">
        <f t="shared" si="23"/>
        <v>3.3828432048990407</v>
      </c>
      <c r="AB24" s="70">
        <f t="shared" si="6"/>
        <v>3.8</v>
      </c>
    </row>
    <row r="25" spans="1:28" ht="20.25" customHeight="1">
      <c r="A25" s="35">
        <f t="shared" si="7"/>
        <v>20</v>
      </c>
      <c r="B25" s="24">
        <v>41425</v>
      </c>
      <c r="C25" s="25">
        <v>0.89444444444444438</v>
      </c>
      <c r="D25" s="26">
        <v>43</v>
      </c>
      <c r="E25" s="27">
        <v>30</v>
      </c>
      <c r="F25" s="36">
        <v>0</v>
      </c>
      <c r="G25" s="29">
        <v>24</v>
      </c>
      <c r="H25" s="37"/>
      <c r="I25" s="31">
        <v>1</v>
      </c>
      <c r="J25" s="31">
        <v>1</v>
      </c>
      <c r="K25" s="32">
        <v>0</v>
      </c>
      <c r="L25" s="27">
        <v>8</v>
      </c>
      <c r="M25" s="38"/>
      <c r="N25" s="39"/>
      <c r="O25" s="61">
        <f t="shared" si="15"/>
        <v>297.9999999969732</v>
      </c>
      <c r="P25" s="64">
        <f t="shared" si="16"/>
        <v>106.48333333327901</v>
      </c>
      <c r="Q25" s="61">
        <f t="shared" si="17"/>
        <v>0</v>
      </c>
      <c r="R25" s="62">
        <f t="shared" si="18"/>
        <v>4025</v>
      </c>
      <c r="S25" s="63">
        <f t="shared" si="19"/>
        <v>0</v>
      </c>
      <c r="T25" s="71">
        <f>T26</f>
        <v>94.203208397674501</v>
      </c>
      <c r="U25" s="61">
        <f t="shared" si="20"/>
        <v>0</v>
      </c>
      <c r="V25" s="64">
        <f t="shared" si="21"/>
        <v>0</v>
      </c>
      <c r="W25" s="64">
        <f t="shared" si="22"/>
        <v>0.11899999999999999</v>
      </c>
      <c r="X25" s="72">
        <f t="shared" si="11"/>
        <v>1.6088368186959662E-2</v>
      </c>
      <c r="Y25" s="64">
        <f t="shared" si="12"/>
        <v>3.3213782811286863</v>
      </c>
      <c r="Z25" s="64">
        <f t="shared" si="23"/>
        <v>3.3213782811286863</v>
      </c>
      <c r="AB25" s="70">
        <f t="shared" si="6"/>
        <v>3</v>
      </c>
    </row>
    <row r="26" spans="1:28" ht="20.25" customHeight="1">
      <c r="A26" s="35">
        <f t="shared" si="7"/>
        <v>21</v>
      </c>
      <c r="B26" s="24">
        <v>41426</v>
      </c>
      <c r="C26" s="25">
        <v>0.10486111111111111</v>
      </c>
      <c r="D26" s="26">
        <v>31</v>
      </c>
      <c r="E26" s="27">
        <v>16</v>
      </c>
      <c r="F26" s="36">
        <v>620</v>
      </c>
      <c r="G26" s="29">
        <v>68</v>
      </c>
      <c r="H26" s="37"/>
      <c r="I26" s="31">
        <v>1</v>
      </c>
      <c r="J26" s="31">
        <v>1</v>
      </c>
      <c r="K26" s="32">
        <v>0</v>
      </c>
      <c r="L26" s="27">
        <v>8</v>
      </c>
      <c r="M26" s="38" t="s">
        <v>57</v>
      </c>
      <c r="N26" s="39" t="s">
        <v>52</v>
      </c>
      <c r="O26" s="61">
        <f t="shared" si="15"/>
        <v>303.00000000279397</v>
      </c>
      <c r="P26" s="64">
        <f t="shared" si="16"/>
        <v>111.53333333332557</v>
      </c>
      <c r="Q26" s="61">
        <f t="shared" si="17"/>
        <v>610.17928825622766</v>
      </c>
      <c r="R26" s="62">
        <f t="shared" si="18"/>
        <v>4025</v>
      </c>
      <c r="S26" s="63">
        <f t="shared" si="19"/>
        <v>0</v>
      </c>
      <c r="T26" s="71">
        <v>94.203208397674501</v>
      </c>
      <c r="U26" s="61">
        <f t="shared" si="20"/>
        <v>574.80846651546119</v>
      </c>
      <c r="V26" s="64">
        <f t="shared" si="21"/>
        <v>0.57480846651546114</v>
      </c>
      <c r="W26" s="64">
        <f t="shared" si="22"/>
        <v>0.187</v>
      </c>
      <c r="X26" s="72">
        <f t="shared" si="11"/>
        <v>2.0127691188598456E-2</v>
      </c>
      <c r="Y26" s="64">
        <f t="shared" si="12"/>
        <v>2.8466147900312024</v>
      </c>
      <c r="Z26" s="64">
        <f t="shared" si="23"/>
        <v>3.4214232565466638</v>
      </c>
      <c r="AB26" s="70">
        <f t="shared" si="6"/>
        <v>1.6</v>
      </c>
    </row>
    <row r="27" spans="1:28" ht="20.25" customHeight="1">
      <c r="A27" s="35">
        <f t="shared" si="7"/>
        <v>22</v>
      </c>
      <c r="B27" s="24">
        <v>41426</v>
      </c>
      <c r="C27" s="25">
        <v>0.39513888888888887</v>
      </c>
      <c r="D27" s="26">
        <v>17</v>
      </c>
      <c r="E27" s="27">
        <v>8</v>
      </c>
      <c r="F27" s="36">
        <v>710</v>
      </c>
      <c r="G27" s="29">
        <v>45</v>
      </c>
      <c r="H27" s="37"/>
      <c r="I27" s="31">
        <v>1</v>
      </c>
      <c r="J27" s="31">
        <v>1</v>
      </c>
      <c r="K27" s="32">
        <v>0</v>
      </c>
      <c r="L27" s="27">
        <v>8</v>
      </c>
      <c r="M27" s="38" t="s">
        <v>58</v>
      </c>
      <c r="N27" s="39" t="s">
        <v>53</v>
      </c>
      <c r="O27" s="61">
        <f t="shared" si="15"/>
        <v>418.00000000046566</v>
      </c>
      <c r="P27" s="64">
        <f t="shared" si="16"/>
        <v>118.5</v>
      </c>
      <c r="Q27" s="61">
        <f t="shared" si="17"/>
        <v>698.75370106761568</v>
      </c>
      <c r="R27" s="62">
        <f t="shared" si="18"/>
        <v>4025</v>
      </c>
      <c r="S27" s="63">
        <f t="shared" si="19"/>
        <v>0</v>
      </c>
      <c r="T27" s="71">
        <f>T28</f>
        <v>96.527343562118219</v>
      </c>
      <c r="U27" s="61">
        <f t="shared" si="20"/>
        <v>674.48838568255394</v>
      </c>
      <c r="V27" s="64">
        <f t="shared" si="21"/>
        <v>1.249296852198015</v>
      </c>
      <c r="W27" s="64">
        <f t="shared" si="22"/>
        <v>0.23199999999999998</v>
      </c>
      <c r="X27" s="72">
        <f t="shared" si="11"/>
        <v>2.2876187857760737E-2</v>
      </c>
      <c r="Y27" s="64">
        <f t="shared" si="12"/>
        <v>1.9349127366381245</v>
      </c>
      <c r="Z27" s="64">
        <f t="shared" si="23"/>
        <v>3.1842095888361395</v>
      </c>
      <c r="AB27" s="70">
        <f t="shared" si="6"/>
        <v>0.8</v>
      </c>
    </row>
    <row r="28" spans="1:28" ht="20.25" customHeight="1">
      <c r="A28" s="35">
        <f t="shared" si="7"/>
        <v>23</v>
      </c>
      <c r="B28" s="24">
        <v>41426</v>
      </c>
      <c r="C28" s="25">
        <v>0.4284722222222222</v>
      </c>
      <c r="D28" s="26">
        <v>8</v>
      </c>
      <c r="E28" s="27">
        <v>5</v>
      </c>
      <c r="F28" s="36">
        <v>680</v>
      </c>
      <c r="G28" s="29">
        <v>7</v>
      </c>
      <c r="H28" s="37"/>
      <c r="I28" s="31">
        <v>1</v>
      </c>
      <c r="J28" s="31">
        <v>1</v>
      </c>
      <c r="K28" s="32">
        <v>0</v>
      </c>
      <c r="L28" s="27">
        <v>8</v>
      </c>
      <c r="M28" s="38" t="s">
        <v>59</v>
      </c>
      <c r="N28" s="39" t="s">
        <v>54</v>
      </c>
      <c r="O28" s="61">
        <f t="shared" si="15"/>
        <v>47.999999999301508</v>
      </c>
      <c r="P28" s="64">
        <f t="shared" si="16"/>
        <v>119.29999999998836</v>
      </c>
      <c r="Q28" s="61">
        <f t="shared" si="17"/>
        <v>669.22889679715308</v>
      </c>
      <c r="R28" s="62">
        <f t="shared" si="18"/>
        <v>4025</v>
      </c>
      <c r="S28" s="63">
        <f t="shared" si="19"/>
        <v>0</v>
      </c>
      <c r="T28" s="71">
        <f>T29</f>
        <v>96.527343562118219</v>
      </c>
      <c r="U28" s="61">
        <f t="shared" si="20"/>
        <v>645.98887642836155</v>
      </c>
      <c r="V28" s="64">
        <f t="shared" si="21"/>
        <v>1.8952857286263765</v>
      </c>
      <c r="W28" s="64">
        <f t="shared" si="22"/>
        <v>0.23899999999999999</v>
      </c>
      <c r="X28" s="72">
        <f t="shared" si="11"/>
        <v>2.4001025006052529E-2</v>
      </c>
      <c r="Y28" s="64">
        <f t="shared" si="12"/>
        <v>1.3384650355448739</v>
      </c>
      <c r="Z28" s="64">
        <f t="shared" si="23"/>
        <v>3.2337507641712504</v>
      </c>
      <c r="AB28" s="70">
        <f t="shared" si="6"/>
        <v>0.5</v>
      </c>
    </row>
    <row r="29" spans="1:28" ht="20.25" customHeight="1">
      <c r="A29" s="35">
        <f t="shared" si="7"/>
        <v>24</v>
      </c>
      <c r="B29" s="24">
        <v>41426</v>
      </c>
      <c r="C29" s="25">
        <v>0.4381944444444445</v>
      </c>
      <c r="D29" s="26">
        <v>5</v>
      </c>
      <c r="E29" s="27">
        <v>0</v>
      </c>
      <c r="F29" s="36">
        <v>1020</v>
      </c>
      <c r="G29" s="29">
        <v>75</v>
      </c>
      <c r="H29" s="37"/>
      <c r="I29" s="31">
        <v>1</v>
      </c>
      <c r="J29" s="31">
        <v>1</v>
      </c>
      <c r="K29" s="32">
        <v>0</v>
      </c>
      <c r="L29" s="27">
        <v>8</v>
      </c>
      <c r="M29" s="38" t="s">
        <v>60</v>
      </c>
      <c r="N29" s="39"/>
      <c r="O29" s="61">
        <f t="shared" ref="O29:O30" si="24">((B29 +C29) - (B28 + C28)) * 24 * 60</f>
        <v>14.00000000372529</v>
      </c>
      <c r="P29" s="64">
        <f t="shared" ref="P29:P30" si="25">P28+O29/60</f>
        <v>119.53333333338378</v>
      </c>
      <c r="Q29" s="61">
        <f t="shared" ref="Q29:Q30" si="26">F29*$F$2/1000*273/(273+L29)</f>
        <v>1003.8433451957295</v>
      </c>
      <c r="R29" s="62">
        <f t="shared" ref="R29:R30" si="27">$N$2-K29</f>
        <v>4025</v>
      </c>
      <c r="S29" s="63">
        <f t="shared" ref="S29:S30" si="28">IF(I29=J29,0,R29*(J29-I29))*273/(273+L29)</f>
        <v>0</v>
      </c>
      <c r="T29" s="71">
        <v>96.527343562118219</v>
      </c>
      <c r="U29" s="61">
        <f t="shared" ref="U29:U30" si="29">(S29+Q29)*T29/100</f>
        <v>968.98331464254227</v>
      </c>
      <c r="V29" s="64">
        <f t="shared" ref="V29:V30" si="30">V28+U29/1000</f>
        <v>2.8642690432689188</v>
      </c>
      <c r="W29" s="64">
        <f t="shared" ref="W29:W30" si="31">W28+(G29+K29)/1000</f>
        <v>0.314</v>
      </c>
      <c r="X29" s="72">
        <f t="shared" si="11"/>
        <v>2.5999999999999999E-2</v>
      </c>
      <c r="Y29" s="64">
        <f t="shared" si="12"/>
        <v>0.29259217174983598</v>
      </c>
      <c r="Z29" s="64">
        <f t="shared" ref="Z29:Z30" si="32">V29+Y29</f>
        <v>3.1568612150187549</v>
      </c>
      <c r="AB29" s="70">
        <f t="shared" ref="AB29:AB30" si="33">E29/10</f>
        <v>0</v>
      </c>
    </row>
    <row r="30" spans="1:28" ht="20.25" customHeight="1">
      <c r="A30" s="35">
        <f t="shared" si="7"/>
        <v>25</v>
      </c>
      <c r="B30" s="24">
        <v>41426</v>
      </c>
      <c r="C30" s="25">
        <v>0.58611111111111114</v>
      </c>
      <c r="D30" s="26">
        <v>0</v>
      </c>
      <c r="E30" s="27">
        <v>0</v>
      </c>
      <c r="F30" s="36">
        <v>220</v>
      </c>
      <c r="G30" s="29">
        <v>4</v>
      </c>
      <c r="H30" s="37"/>
      <c r="I30" s="31">
        <v>1</v>
      </c>
      <c r="J30" s="31">
        <v>1</v>
      </c>
      <c r="K30" s="32">
        <v>0</v>
      </c>
      <c r="L30" s="27">
        <v>8</v>
      </c>
      <c r="M30" s="38" t="s">
        <v>61</v>
      </c>
      <c r="N30" s="39" t="s">
        <v>56</v>
      </c>
      <c r="O30" s="61">
        <f t="shared" si="24"/>
        <v>212.99999999231659</v>
      </c>
      <c r="P30" s="64">
        <f t="shared" si="25"/>
        <v>123.08333333325572</v>
      </c>
      <c r="Q30" s="61">
        <f t="shared" si="26"/>
        <v>216.51523131672599</v>
      </c>
      <c r="R30" s="62">
        <f t="shared" si="27"/>
        <v>4025</v>
      </c>
      <c r="S30" s="63">
        <f t="shared" si="28"/>
        <v>0</v>
      </c>
      <c r="T30" s="71">
        <v>92.958322961895249</v>
      </c>
      <c r="U30" s="61">
        <f t="shared" si="29"/>
        <v>201.26892798909671</v>
      </c>
      <c r="V30" s="64">
        <f t="shared" si="30"/>
        <v>3.0655379712580157</v>
      </c>
      <c r="W30" s="64">
        <f t="shared" si="31"/>
        <v>0.318</v>
      </c>
      <c r="X30" s="72">
        <f t="shared" si="11"/>
        <v>2.5999999999999999E-2</v>
      </c>
      <c r="Y30" s="64">
        <f t="shared" si="12"/>
        <v>0.28719159607167172</v>
      </c>
      <c r="Z30" s="64">
        <f t="shared" si="32"/>
        <v>3.3527295673296873</v>
      </c>
      <c r="AB30" s="70">
        <f t="shared" si="33"/>
        <v>0</v>
      </c>
    </row>
  </sheetData>
  <mergeCells count="22">
    <mergeCell ref="W4:Y4"/>
    <mergeCell ref="U4:V4"/>
    <mergeCell ref="O4:P4"/>
    <mergeCell ref="Q3:S3"/>
    <mergeCell ref="R4:S4"/>
    <mergeCell ref="A2:E2"/>
    <mergeCell ref="F2:H2"/>
    <mergeCell ref="I2:K2"/>
    <mergeCell ref="L2:M2"/>
    <mergeCell ref="A1:E1"/>
    <mergeCell ref="F1:H1"/>
    <mergeCell ref="I1:K1"/>
    <mergeCell ref="L1:N1"/>
    <mergeCell ref="B4:B5"/>
    <mergeCell ref="F4:G4"/>
    <mergeCell ref="D4:E4"/>
    <mergeCell ref="A3:N3"/>
    <mergeCell ref="A4:A5"/>
    <mergeCell ref="C4:C5"/>
    <mergeCell ref="I4:L4"/>
    <mergeCell ref="M4:M5"/>
    <mergeCell ref="N4:N5"/>
  </mergeCell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8"/>
  <sheetViews>
    <sheetView workbookViewId="0">
      <selection activeCell="E39" sqref="E39"/>
    </sheetView>
  </sheetViews>
  <sheetFormatPr baseColWidth="10" defaultColWidth="10.7109375" defaultRowHeight="12" x14ac:dyDescent="0"/>
  <cols>
    <col min="1" max="1" width="7.28515625" style="12" customWidth="1"/>
    <col min="2" max="3" width="8.42578125" style="10" customWidth="1"/>
    <col min="4" max="4" width="11.5703125" style="10" customWidth="1"/>
    <col min="5" max="5" width="8.28515625" style="10" customWidth="1"/>
    <col min="6" max="6" width="7.42578125" style="10" customWidth="1"/>
    <col min="7" max="7" width="13.140625" style="10" customWidth="1"/>
    <col min="8" max="8" width="9" style="10" customWidth="1"/>
    <col min="9" max="9" width="11.42578125" style="10" customWidth="1"/>
    <col min="10" max="16384" width="10.7109375" style="10"/>
  </cols>
  <sheetData>
    <row r="1" spans="1:21" ht="23.25" customHeight="1">
      <c r="A1" s="113" t="str">
        <f>CONCATENATE(M1," Depressurization Table")</f>
        <v>UT-GOM2-1-H005-4FB-3 Depressurization Table</v>
      </c>
      <c r="B1" s="113"/>
      <c r="C1" s="113"/>
      <c r="D1" s="113"/>
      <c r="E1" s="113"/>
      <c r="F1" s="113"/>
      <c r="G1" s="113"/>
      <c r="H1" s="113"/>
      <c r="I1" s="113"/>
      <c r="M1" s="22" t="s">
        <v>55</v>
      </c>
      <c r="N1" s="11"/>
      <c r="O1" s="11"/>
      <c r="P1" s="11"/>
      <c r="Q1" s="11"/>
      <c r="R1" s="11"/>
      <c r="S1" s="11"/>
      <c r="T1" s="11"/>
      <c r="U1" s="11"/>
    </row>
    <row r="2" spans="1:21" ht="20.25" customHeight="1">
      <c r="M2" s="10" t="s">
        <v>27</v>
      </c>
    </row>
    <row r="3" spans="1:21" s="16" customFormat="1" ht="63" customHeight="1">
      <c r="A3" s="13" t="s">
        <v>17</v>
      </c>
      <c r="B3" s="13" t="s">
        <v>18</v>
      </c>
      <c r="C3" s="13" t="s">
        <v>19</v>
      </c>
      <c r="D3" s="14" t="s">
        <v>20</v>
      </c>
      <c r="E3" s="14" t="s">
        <v>21</v>
      </c>
      <c r="F3" s="14" t="s">
        <v>22</v>
      </c>
      <c r="G3" s="14" t="s">
        <v>23</v>
      </c>
      <c r="H3" s="15" t="s">
        <v>24</v>
      </c>
      <c r="I3" s="13" t="s">
        <v>25</v>
      </c>
    </row>
    <row r="4" spans="1:21">
      <c r="A4" s="17">
        <f t="shared" ref="A4:A28" ca="1" si="0">INDIRECT(CONCATENATE("'",$M$1,"'!A",ROW()+2))</f>
        <v>1</v>
      </c>
      <c r="B4" s="18">
        <f t="shared" ref="B4:B28" ca="1" si="1">INDIRECT(CONCATENATE("'",$M$1,"'!D",ROW()+2))/10</f>
        <v>17.3</v>
      </c>
      <c r="C4" s="18">
        <f t="shared" ref="C4:C28" ca="1" si="2">INDIRECT(CONCATENATE("'",$M$1,"'!E",ROW()+2))/10</f>
        <v>17.3</v>
      </c>
      <c r="D4" s="19">
        <f ca="1">(INDIRECT(CONCATENATE("'",$M$1,"'!R",ROW()+2))+INDIRECT(CONCATENATE("'",$M$1,"'!T",ROW()+2)))/1000</f>
        <v>4.1192032083976748</v>
      </c>
      <c r="E4" s="18">
        <f ca="1">INDIRECT(CONCATENATE("'",$M$1,"'!t",ROW()+2))</f>
        <v>94.203208397674501</v>
      </c>
      <c r="F4" s="68" t="str">
        <f ca="1">IF(INDIRECT(CONCATENATE("'",$M$1,"'!m",ROW()+2))="","",INDIRECT(CONCATENATE("'",$M$1,"'!m",ROW()+2)))</f>
        <v/>
      </c>
      <c r="G4" s="19">
        <f t="shared" ref="G4:G28" ca="1" si="3">INDIRECT(CONCATENATE("'",$M$1,"'!x",ROW()+2))</f>
        <v>0</v>
      </c>
      <c r="H4" s="20">
        <f t="shared" ref="H4:H6" ca="1" si="4">D4/MAX(D4:D26)</f>
        <v>4.3476127818850928E-2</v>
      </c>
      <c r="I4" s="19">
        <f ca="1">INDIRECT(CONCATENATE("'",$M$1,"'!y",ROW()+2))</f>
        <v>0</v>
      </c>
      <c r="J4" s="21"/>
    </row>
    <row r="5" spans="1:21">
      <c r="A5" s="17">
        <f t="shared" ca="1" si="0"/>
        <v>2</v>
      </c>
      <c r="B5" s="18">
        <f t="shared" ca="1" si="1"/>
        <v>17.3</v>
      </c>
      <c r="C5" s="18">
        <f t="shared" ca="1" si="2"/>
        <v>15.3</v>
      </c>
      <c r="D5" s="19">
        <f t="shared" ref="D5:D28" ca="1" si="5">D4+(INDIRECT(CONCATENATE("'",$M$1,"'!R",ROW()+2))+INDIRECT(CONCATENATE("'",$M$1,"'!T",ROW()+2)))/1000</f>
        <v>8.2384064167953497</v>
      </c>
      <c r="E5" s="18">
        <f t="shared" ref="E5:E28" ca="1" si="6">INDIRECT(CONCATENATE("'",$M$1,"'!t",ROW()+2))</f>
        <v>94.203208397674501</v>
      </c>
      <c r="F5" s="68" t="str">
        <f t="shared" ref="F5:F28" ca="1" si="7">IF(INDIRECT(CONCATENATE("'",$M$1,"'!m",ROW()+2))="","",INDIRECT(CONCATENATE("'",$M$1,"'!m",ROW()+2)))</f>
        <v/>
      </c>
      <c r="G5" s="19">
        <f t="shared" ca="1" si="3"/>
        <v>2.2481250057411056E-3</v>
      </c>
      <c r="H5" s="20">
        <f t="shared" ca="1" si="4"/>
        <v>8.3327456460370083E-2</v>
      </c>
      <c r="I5" s="19">
        <f t="shared" ref="I5:I28" ca="1" si="8">INDIRECT(CONCATENATE("'",$M$1,"'!y",ROW()+2))</f>
        <v>0.81068508189654143</v>
      </c>
      <c r="J5" s="21"/>
    </row>
    <row r="6" spans="1:21">
      <c r="A6" s="17">
        <f t="shared" ca="1" si="0"/>
        <v>3</v>
      </c>
      <c r="B6" s="18">
        <f t="shared" ca="1" si="1"/>
        <v>15.3</v>
      </c>
      <c r="C6" s="18">
        <f t="shared" ca="1" si="2"/>
        <v>14.7</v>
      </c>
      <c r="D6" s="19">
        <f t="shared" ca="1" si="5"/>
        <v>12.357609625193025</v>
      </c>
      <c r="E6" s="18">
        <f t="shared" ca="1" si="6"/>
        <v>94.203208397674501</v>
      </c>
      <c r="F6" s="68" t="str">
        <f t="shared" ca="1" si="7"/>
        <v/>
      </c>
      <c r="G6" s="19">
        <f t="shared" ca="1" si="3"/>
        <v>2.4746439770610383E-3</v>
      </c>
      <c r="H6" s="20">
        <f t="shared" ca="1" si="4"/>
        <v>0.11999332624152723</v>
      </c>
      <c r="I6" s="19">
        <f t="shared" ca="1" si="8"/>
        <v>1.1883809414108779</v>
      </c>
      <c r="J6" s="21"/>
    </row>
    <row r="7" spans="1:21">
      <c r="A7" s="17">
        <f t="shared" ca="1" si="0"/>
        <v>4</v>
      </c>
      <c r="B7" s="18">
        <f t="shared" ca="1" si="1"/>
        <v>14.7</v>
      </c>
      <c r="C7" s="18">
        <f t="shared" ca="1" si="2"/>
        <v>11.9</v>
      </c>
      <c r="D7" s="19">
        <f t="shared" ca="1" si="5"/>
        <v>16.476812833590699</v>
      </c>
      <c r="E7" s="18">
        <f t="shared" ca="1" si="6"/>
        <v>94.203208397674501</v>
      </c>
      <c r="F7" s="68" t="str">
        <f t="shared" ca="1" si="7"/>
        <v/>
      </c>
      <c r="G7" s="19">
        <f t="shared" ca="1" si="3"/>
        <v>3.8732600322232387E-3</v>
      </c>
      <c r="H7" s="20">
        <f ca="1">D7/MAX(D7:D28)</f>
        <v>0.15999110165536964</v>
      </c>
      <c r="I7" s="19">
        <f t="shared" ca="1" si="8"/>
        <v>1.3839535422675737</v>
      </c>
      <c r="J7" s="21"/>
    </row>
    <row r="8" spans="1:21">
      <c r="A8" s="17">
        <f t="shared" ca="1" si="0"/>
        <v>5</v>
      </c>
      <c r="B8" s="18">
        <f t="shared" ca="1" si="1"/>
        <v>11.9</v>
      </c>
      <c r="C8" s="18">
        <f t="shared" ca="1" si="2"/>
        <v>11.2</v>
      </c>
      <c r="D8" s="19">
        <f t="shared" ca="1" si="5"/>
        <v>20.596016041988374</v>
      </c>
      <c r="E8" s="18">
        <f t="shared" ca="1" si="6"/>
        <v>94.203208397674501</v>
      </c>
      <c r="F8" s="68" t="str">
        <f t="shared" ca="1" si="7"/>
        <v/>
      </c>
      <c r="G8" s="19">
        <f t="shared" ca="1" si="3"/>
        <v>4.3322911586641342E-3</v>
      </c>
      <c r="H8" s="20">
        <f ca="1">D8/MAX(D8:D28)</f>
        <v>0.19998887706921206</v>
      </c>
      <c r="I8" s="19">
        <f t="shared" ca="1" si="8"/>
        <v>1.7106509755065202</v>
      </c>
      <c r="J8" s="21"/>
    </row>
    <row r="9" spans="1:21">
      <c r="A9" s="17">
        <f t="shared" ca="1" si="0"/>
        <v>6</v>
      </c>
      <c r="B9" s="18">
        <f t="shared" ca="1" si="1"/>
        <v>11.2</v>
      </c>
      <c r="C9" s="18">
        <f t="shared" ca="1" si="2"/>
        <v>10.3</v>
      </c>
      <c r="D9" s="19">
        <f t="shared" ca="1" si="5"/>
        <v>24.715219250386049</v>
      </c>
      <c r="E9" s="18">
        <f t="shared" ca="1" si="6"/>
        <v>94.203208397674501</v>
      </c>
      <c r="F9" s="68" t="str">
        <f t="shared" ca="1" si="7"/>
        <v/>
      </c>
      <c r="G9" s="19">
        <f t="shared" ca="1" si="3"/>
        <v>5.0032942126441941E-3</v>
      </c>
      <c r="H9" s="20">
        <f ca="1">D9/MAX(D9:D28)</f>
        <v>0.23998665248305445</v>
      </c>
      <c r="I9" s="19">
        <f t="shared" ca="1" si="8"/>
        <v>1.6494106179703447</v>
      </c>
      <c r="J9" s="21"/>
    </row>
    <row r="10" spans="1:21">
      <c r="A10" s="17">
        <f t="shared" ca="1" si="0"/>
        <v>7</v>
      </c>
      <c r="B10" s="18">
        <f t="shared" ca="1" si="1"/>
        <v>10.3</v>
      </c>
      <c r="C10" s="18">
        <f t="shared" ca="1" si="2"/>
        <v>7.4</v>
      </c>
      <c r="D10" s="19">
        <f t="shared" ca="1" si="5"/>
        <v>28.834422458783724</v>
      </c>
      <c r="E10" s="18">
        <f t="shared" ca="1" si="6"/>
        <v>94.203208397674501</v>
      </c>
      <c r="F10" s="68" t="str">
        <f t="shared" ca="1" si="7"/>
        <v/>
      </c>
      <c r="G10" s="19">
        <f t="shared" ca="1" si="3"/>
        <v>7.957354043659038E-3</v>
      </c>
      <c r="H10" s="20">
        <f ca="1">D10/MAX(D10:D28)</f>
        <v>0.27998442789689687</v>
      </c>
      <c r="I10" s="19">
        <f t="shared" ca="1" si="8"/>
        <v>1.1700495249875009</v>
      </c>
      <c r="J10" s="21"/>
    </row>
    <row r="11" spans="1:21">
      <c r="A11" s="17">
        <f t="shared" ca="1" si="0"/>
        <v>8</v>
      </c>
      <c r="B11" s="18">
        <f t="shared" ca="1" si="1"/>
        <v>7.5</v>
      </c>
      <c r="C11" s="18">
        <f t="shared" ca="1" si="2"/>
        <v>7.3</v>
      </c>
      <c r="D11" s="19">
        <f t="shared" ca="1" si="5"/>
        <v>32.953625667181399</v>
      </c>
      <c r="E11" s="18">
        <f t="shared" ca="1" si="6"/>
        <v>94.203208397674501</v>
      </c>
      <c r="F11" s="68" t="str">
        <f t="shared" ca="1" si="7"/>
        <v/>
      </c>
      <c r="G11" s="19">
        <f t="shared" ca="1" si="3"/>
        <v>8.0856957036941311E-3</v>
      </c>
      <c r="H11" s="20">
        <f ca="1">D11/MAX(D11:D28)</f>
        <v>0.31998220331073929</v>
      </c>
      <c r="I11" s="19">
        <f t="shared" ca="1" si="8"/>
        <v>1.4812741854287084</v>
      </c>
      <c r="J11" s="21"/>
    </row>
    <row r="12" spans="1:21">
      <c r="A12" s="17">
        <f t="shared" ca="1" si="0"/>
        <v>9</v>
      </c>
      <c r="B12" s="18">
        <f t="shared" ca="1" si="1"/>
        <v>7.3</v>
      </c>
      <c r="C12" s="18">
        <f t="shared" ca="1" si="2"/>
        <v>6.8</v>
      </c>
      <c r="D12" s="19">
        <f t="shared" ca="1" si="5"/>
        <v>37.072828875579077</v>
      </c>
      <c r="E12" s="18">
        <f t="shared" ca="1" si="6"/>
        <v>94.203208397674501</v>
      </c>
      <c r="F12" s="68" t="str">
        <f t="shared" ca="1" si="7"/>
        <v/>
      </c>
      <c r="G12" s="19">
        <f t="shared" ca="1" si="3"/>
        <v>8.7591295889668241E-3</v>
      </c>
      <c r="H12" s="20">
        <f ca="1">D12/MAX(D12:D28)</f>
        <v>0.35997997872458171</v>
      </c>
      <c r="I12" s="19">
        <f t="shared" ca="1" si="8"/>
        <v>1.4099153694494317</v>
      </c>
      <c r="J12" s="21"/>
    </row>
    <row r="13" spans="1:21">
      <c r="A13" s="17">
        <f t="shared" ca="1" si="0"/>
        <v>10</v>
      </c>
      <c r="B13" s="18">
        <f t="shared" ca="1" si="1"/>
        <v>6.7</v>
      </c>
      <c r="C13" s="18">
        <f t="shared" ca="1" si="2"/>
        <v>6.6</v>
      </c>
      <c r="D13" s="19">
        <f t="shared" ca="1" si="5"/>
        <v>41.192032083976756</v>
      </c>
      <c r="E13" s="18">
        <f t="shared" ca="1" si="6"/>
        <v>94.203208397674501</v>
      </c>
      <c r="F13" s="68" t="str">
        <f t="shared" ca="1" si="7"/>
        <v/>
      </c>
      <c r="G13" s="19">
        <f t="shared" ca="1" si="3"/>
        <v>9.0439546318442712E-3</v>
      </c>
      <c r="H13" s="20">
        <f ca="1">D13/MAX(D13:D28)</f>
        <v>0.39997775413842418</v>
      </c>
      <c r="I13" s="19">
        <f t="shared" ca="1" si="8"/>
        <v>1.4541967080640634</v>
      </c>
      <c r="J13" s="21"/>
    </row>
    <row r="14" spans="1:21">
      <c r="A14" s="17">
        <f t="shared" ca="1" si="0"/>
        <v>11</v>
      </c>
      <c r="B14" s="18">
        <f t="shared" ca="1" si="1"/>
        <v>6.5</v>
      </c>
      <c r="C14" s="18">
        <f t="shared" ca="1" si="2"/>
        <v>6.5</v>
      </c>
      <c r="D14" s="19">
        <f t="shared" ca="1" si="5"/>
        <v>45.311235292374434</v>
      </c>
      <c r="E14" s="18">
        <f t="shared" ca="1" si="6"/>
        <v>94.203208397674501</v>
      </c>
      <c r="F14" s="68" t="str">
        <f t="shared" ca="1" si="7"/>
        <v/>
      </c>
      <c r="G14" s="19">
        <f t="shared" ca="1" si="3"/>
        <v>9.189821730928284E-3</v>
      </c>
      <c r="H14" s="20">
        <f t="shared" ref="H14:H28" ca="1" si="9">D14/MAX(D14:D28)</f>
        <v>0.4399755295522666</v>
      </c>
      <c r="I14" s="19">
        <f t="shared" ca="1" si="8"/>
        <v>1.4408859002115741</v>
      </c>
      <c r="J14" s="21"/>
    </row>
    <row r="15" spans="1:21">
      <c r="A15" s="17">
        <f t="shared" ca="1" si="0"/>
        <v>12</v>
      </c>
      <c r="B15" s="18">
        <f t="shared" ca="1" si="1"/>
        <v>6.5</v>
      </c>
      <c r="C15" s="18">
        <f t="shared" ca="1" si="2"/>
        <v>5.2</v>
      </c>
      <c r="D15" s="19">
        <f t="shared" ca="1" si="5"/>
        <v>49.430438500772112</v>
      </c>
      <c r="E15" s="18">
        <f t="shared" ca="1" si="6"/>
        <v>94.203208397674501</v>
      </c>
      <c r="F15" s="68" t="str">
        <f t="shared" ca="1" si="7"/>
        <v/>
      </c>
      <c r="G15" s="19">
        <f t="shared" ca="1" si="3"/>
        <v>1.1314629540925273E-2</v>
      </c>
      <c r="H15" s="20">
        <f t="shared" ca="1" si="9"/>
        <v>0.47997330496610907</v>
      </c>
      <c r="I15" s="19">
        <f t="shared" ca="1" si="8"/>
        <v>1.1095902774114748</v>
      </c>
      <c r="J15" s="21"/>
    </row>
    <row r="16" spans="1:21">
      <c r="A16" s="17">
        <f t="shared" ca="1" si="0"/>
        <v>13</v>
      </c>
      <c r="B16" s="18">
        <f t="shared" ca="1" si="1"/>
        <v>5.9</v>
      </c>
      <c r="C16" s="18">
        <f t="shared" ca="1" si="2"/>
        <v>4.8</v>
      </c>
      <c r="D16" s="19">
        <f t="shared" ca="1" si="5"/>
        <v>53.549641709169791</v>
      </c>
      <c r="E16" s="18">
        <f t="shared" ca="1" si="6"/>
        <v>94.203208397674501</v>
      </c>
      <c r="F16" s="68" t="str">
        <f t="shared" ca="1" si="7"/>
        <v/>
      </c>
      <c r="G16" s="19">
        <f t="shared" ca="1" si="3"/>
        <v>1.2062440548382814E-2</v>
      </c>
      <c r="H16" s="20">
        <f t="shared" ca="1" si="9"/>
        <v>0.51997108037995154</v>
      </c>
      <c r="I16" s="19">
        <f t="shared" ca="1" si="8"/>
        <v>1.2221358775206994</v>
      </c>
      <c r="J16" s="21"/>
    </row>
    <row r="17" spans="1:10">
      <c r="A17" s="17">
        <f t="shared" ca="1" si="0"/>
        <v>14</v>
      </c>
      <c r="B17" s="18">
        <f t="shared" ca="1" si="1"/>
        <v>5.6</v>
      </c>
      <c r="C17" s="18">
        <f t="shared" ca="1" si="2"/>
        <v>4.3</v>
      </c>
      <c r="D17" s="19">
        <f t="shared" ca="1" si="5"/>
        <v>57.668844917567469</v>
      </c>
      <c r="E17" s="18">
        <f t="shared" ca="1" si="6"/>
        <v>94.203208397674501</v>
      </c>
      <c r="F17" s="68" t="str">
        <f t="shared" ca="1" si="7"/>
        <v/>
      </c>
      <c r="G17" s="19">
        <f t="shared" ca="1" si="3"/>
        <v>1.3067085850661136E-2</v>
      </c>
      <c r="H17" s="20">
        <f t="shared" ca="1" si="9"/>
        <v>0.55996885579379396</v>
      </c>
      <c r="I17" s="19">
        <f t="shared" ca="1" si="8"/>
        <v>1.1273549402088461</v>
      </c>
      <c r="J17" s="21"/>
    </row>
    <row r="18" spans="1:10">
      <c r="A18" s="17">
        <f t="shared" ca="1" si="0"/>
        <v>15</v>
      </c>
      <c r="B18" s="18">
        <f t="shared" ca="1" si="1"/>
        <v>5.5</v>
      </c>
      <c r="C18" s="18">
        <f t="shared" ca="1" si="2"/>
        <v>4.4000000000000004</v>
      </c>
      <c r="D18" s="19">
        <f t="shared" ca="1" si="5"/>
        <v>61.788048125965148</v>
      </c>
      <c r="E18" s="18">
        <f t="shared" ca="1" si="6"/>
        <v>94.203208397674501</v>
      </c>
      <c r="F18" s="68" t="str">
        <f t="shared" ca="1" si="7"/>
        <v/>
      </c>
      <c r="G18" s="19">
        <f t="shared" ca="1" si="3"/>
        <v>1.2859676179143482E-2</v>
      </c>
      <c r="H18" s="20">
        <f t="shared" ca="1" si="9"/>
        <v>0.59996663120763638</v>
      </c>
      <c r="I18" s="19">
        <f t="shared" ca="1" si="8"/>
        <v>2.067770574857398</v>
      </c>
      <c r="J18" s="21"/>
    </row>
    <row r="19" spans="1:10">
      <c r="A19" s="17">
        <f t="shared" ca="1" si="0"/>
        <v>16</v>
      </c>
      <c r="B19" s="18">
        <f t="shared" ca="1" si="1"/>
        <v>5.7</v>
      </c>
      <c r="C19" s="18">
        <f t="shared" ca="1" si="2"/>
        <v>4.2</v>
      </c>
      <c r="D19" s="19">
        <f t="shared" ca="1" si="5"/>
        <v>65.907251334362826</v>
      </c>
      <c r="E19" s="18">
        <f t="shared" ca="1" si="6"/>
        <v>94.203208397674501</v>
      </c>
      <c r="F19" s="68" t="str">
        <f t="shared" ca="1" si="7"/>
        <v/>
      </c>
      <c r="G19" s="19">
        <f t="shared" ca="1" si="3"/>
        <v>1.3277840767520884E-2</v>
      </c>
      <c r="H19" s="20">
        <f t="shared" ca="1" si="9"/>
        <v>0.6399644066214788</v>
      </c>
      <c r="I19" s="19">
        <f t="shared" ca="1" si="8"/>
        <v>2.0693131543475083</v>
      </c>
      <c r="J19" s="21"/>
    </row>
    <row r="20" spans="1:10">
      <c r="A20" s="17">
        <f t="shared" ca="1" si="0"/>
        <v>17</v>
      </c>
      <c r="B20" s="18">
        <f t="shared" ca="1" si="1"/>
        <v>5.0999999999999996</v>
      </c>
      <c r="C20" s="18">
        <f t="shared" ca="1" si="2"/>
        <v>3.9</v>
      </c>
      <c r="D20" s="19">
        <f t="shared" ca="1" si="5"/>
        <v>70.026454542760504</v>
      </c>
      <c r="E20" s="18">
        <f t="shared" ca="1" si="6"/>
        <v>94.203208397674501</v>
      </c>
      <c r="F20" s="68" t="str">
        <f t="shared" ca="1" si="7"/>
        <v/>
      </c>
      <c r="G20" s="19">
        <f t="shared" ca="1" si="3"/>
        <v>1.3930720899353856E-2</v>
      </c>
      <c r="H20" s="20">
        <f t="shared" ca="1" si="9"/>
        <v>0.67996218203532133</v>
      </c>
      <c r="I20" s="19">
        <f t="shared" ca="1" si="8"/>
        <v>2.2092179365058002</v>
      </c>
    </row>
    <row r="21" spans="1:10">
      <c r="A21" s="17">
        <f t="shared" ca="1" si="0"/>
        <v>18</v>
      </c>
      <c r="B21" s="18">
        <f t="shared" ca="1" si="1"/>
        <v>5.4</v>
      </c>
      <c r="C21" s="18">
        <f t="shared" ca="1" si="2"/>
        <v>3.9</v>
      </c>
      <c r="D21" s="19">
        <f t="shared" ca="1" si="5"/>
        <v>74.145657751158183</v>
      </c>
      <c r="E21" s="18">
        <f t="shared" ca="1" si="6"/>
        <v>94.203208397674501</v>
      </c>
      <c r="F21" s="68" t="str">
        <f t="shared" ca="1" si="7"/>
        <v/>
      </c>
      <c r="G21" s="19">
        <f t="shared" ca="1" si="3"/>
        <v>1.3930720899353856E-2</v>
      </c>
      <c r="H21" s="20">
        <f t="shared" ca="1" si="9"/>
        <v>0.71995995744916375</v>
      </c>
      <c r="I21" s="19">
        <f t="shared" ca="1" si="8"/>
        <v>2.6724209824302569</v>
      </c>
    </row>
    <row r="22" spans="1:10">
      <c r="A22" s="17">
        <f t="shared" ca="1" si="0"/>
        <v>19</v>
      </c>
      <c r="B22" s="18">
        <f t="shared" ca="1" si="1"/>
        <v>5.5</v>
      </c>
      <c r="C22" s="18">
        <f t="shared" ca="1" si="2"/>
        <v>3.8</v>
      </c>
      <c r="D22" s="19">
        <f t="shared" ca="1" si="5"/>
        <v>78.264860959555861</v>
      </c>
      <c r="E22" s="18">
        <f t="shared" ca="1" si="6"/>
        <v>94.203208397674501</v>
      </c>
      <c r="F22" s="68" t="str">
        <f t="shared" ca="1" si="7"/>
        <v/>
      </c>
      <c r="G22" s="19">
        <f t="shared" ca="1" si="3"/>
        <v>1.4155405114219644E-2</v>
      </c>
      <c r="H22" s="20">
        <f t="shared" ca="1" si="9"/>
        <v>0.75995773286300616</v>
      </c>
      <c r="I22" s="19">
        <f t="shared" ca="1" si="8"/>
        <v>3.3828432048990407</v>
      </c>
    </row>
    <row r="23" spans="1:10">
      <c r="A23" s="17">
        <f t="shared" ca="1" si="0"/>
        <v>20</v>
      </c>
      <c r="B23" s="18">
        <f t="shared" ca="1" si="1"/>
        <v>4.3</v>
      </c>
      <c r="C23" s="18">
        <f t="shared" ca="1" si="2"/>
        <v>3</v>
      </c>
      <c r="D23" s="19">
        <f t="shared" ca="1" si="5"/>
        <v>82.384064167953539</v>
      </c>
      <c r="E23" s="18">
        <f t="shared" ca="1" si="6"/>
        <v>94.203208397674501</v>
      </c>
      <c r="F23" s="68" t="str">
        <f t="shared" ca="1" si="7"/>
        <v/>
      </c>
      <c r="G23" s="19">
        <f t="shared" ca="1" si="3"/>
        <v>1.6088368186959662E-2</v>
      </c>
      <c r="H23" s="20">
        <f t="shared" ca="1" si="9"/>
        <v>0.79995550827684858</v>
      </c>
      <c r="I23" s="19">
        <f t="shared" ca="1" si="8"/>
        <v>3.3213782811286863</v>
      </c>
    </row>
    <row r="24" spans="1:10">
      <c r="A24" s="17">
        <f t="shared" ca="1" si="0"/>
        <v>21</v>
      </c>
      <c r="B24" s="18">
        <f t="shared" ca="1" si="1"/>
        <v>3.1</v>
      </c>
      <c r="C24" s="18">
        <f t="shared" ca="1" si="2"/>
        <v>1.6</v>
      </c>
      <c r="D24" s="19">
        <f t="shared" ca="1" si="5"/>
        <v>86.503267376351218</v>
      </c>
      <c r="E24" s="18">
        <f t="shared" ca="1" si="6"/>
        <v>94.203208397674501</v>
      </c>
      <c r="F24" s="68" t="str">
        <f t="shared" ca="1" si="7"/>
        <v>1R</v>
      </c>
      <c r="G24" s="19">
        <f t="shared" ca="1" si="3"/>
        <v>2.0127691188598456E-2</v>
      </c>
      <c r="H24" s="20">
        <f t="shared" ca="1" si="9"/>
        <v>0.83995328369069111</v>
      </c>
      <c r="I24" s="19">
        <f t="shared" ca="1" si="8"/>
        <v>2.8466147900312024</v>
      </c>
    </row>
    <row r="25" spans="1:10">
      <c r="A25" s="17">
        <f t="shared" ca="1" si="0"/>
        <v>22</v>
      </c>
      <c r="B25" s="18">
        <f t="shared" ca="1" si="1"/>
        <v>1.7</v>
      </c>
      <c r="C25" s="18">
        <f t="shared" ca="1" si="2"/>
        <v>0.8</v>
      </c>
      <c r="D25" s="19">
        <f t="shared" ca="1" si="5"/>
        <v>90.624794719913339</v>
      </c>
      <c r="E25" s="18">
        <f t="shared" ca="1" si="6"/>
        <v>96.527343562118219</v>
      </c>
      <c r="F25" s="68" t="str">
        <f t="shared" ca="1" si="7"/>
        <v>2R</v>
      </c>
      <c r="G25" s="19">
        <f t="shared" ca="1" si="3"/>
        <v>2.2876187857760737E-2</v>
      </c>
      <c r="H25" s="20">
        <f t="shared" ca="1" si="9"/>
        <v>0.87997362663316359</v>
      </c>
      <c r="I25" s="19">
        <f t="shared" ca="1" si="8"/>
        <v>1.9349127366381245</v>
      </c>
    </row>
    <row r="26" spans="1:10">
      <c r="A26" s="17">
        <f t="shared" ca="1" si="0"/>
        <v>23</v>
      </c>
      <c r="B26" s="18">
        <f t="shared" ca="1" si="1"/>
        <v>0.8</v>
      </c>
      <c r="C26" s="18">
        <f t="shared" ca="1" si="2"/>
        <v>0.5</v>
      </c>
      <c r="D26" s="19">
        <f t="shared" ca="1" si="5"/>
        <v>94.746322063475461</v>
      </c>
      <c r="E26" s="18">
        <f t="shared" ca="1" si="6"/>
        <v>96.527343562118219</v>
      </c>
      <c r="F26" s="68" t="str">
        <f t="shared" ca="1" si="7"/>
        <v>3R</v>
      </c>
      <c r="G26" s="19">
        <f t="shared" ca="1" si="3"/>
        <v>2.4001025006052529E-2</v>
      </c>
      <c r="H26" s="20">
        <f t="shared" ca="1" si="9"/>
        <v>0.91999396957563617</v>
      </c>
      <c r="I26" s="19">
        <f t="shared" ca="1" si="8"/>
        <v>1.3384650355448739</v>
      </c>
    </row>
    <row r="27" spans="1:10">
      <c r="A27" s="17">
        <f t="shared" ca="1" si="0"/>
        <v>24</v>
      </c>
      <c r="B27" s="18">
        <f t="shared" ca="1" si="1"/>
        <v>0.5</v>
      </c>
      <c r="C27" s="18">
        <f t="shared" ca="1" si="2"/>
        <v>0</v>
      </c>
      <c r="D27" s="19">
        <f t="shared" ca="1" si="5"/>
        <v>98.867849407037582</v>
      </c>
      <c r="E27" s="18">
        <f t="shared" ca="1" si="6"/>
        <v>96.527343562118219</v>
      </c>
      <c r="F27" s="68" t="str">
        <f t="shared" ca="1" si="7"/>
        <v>4R</v>
      </c>
      <c r="G27" s="19">
        <f t="shared" ca="1" si="3"/>
        <v>2.5999999999999999E-2</v>
      </c>
      <c r="H27" s="20">
        <f t="shared" ca="1" si="9"/>
        <v>0.96001431251810876</v>
      </c>
      <c r="I27" s="19">
        <f t="shared" ca="1" si="8"/>
        <v>0.29259217174983598</v>
      </c>
    </row>
    <row r="28" spans="1:10">
      <c r="A28" s="17">
        <f t="shared" ca="1" si="0"/>
        <v>25</v>
      </c>
      <c r="B28" s="18">
        <f t="shared" ca="1" si="1"/>
        <v>0</v>
      </c>
      <c r="C28" s="18">
        <f t="shared" ca="1" si="2"/>
        <v>0</v>
      </c>
      <c r="D28" s="19">
        <f t="shared" ca="1" si="5"/>
        <v>102.98580772999948</v>
      </c>
      <c r="E28" s="18">
        <f t="shared" ca="1" si="6"/>
        <v>92.958322961895249</v>
      </c>
      <c r="F28" s="68" t="str">
        <f t="shared" ca="1" si="7"/>
        <v>5R</v>
      </c>
      <c r="G28" s="19">
        <f t="shared" ca="1" si="3"/>
        <v>2.5999999999999999E-2</v>
      </c>
      <c r="H28" s="20">
        <f t="shared" ca="1" si="9"/>
        <v>1</v>
      </c>
      <c r="I28" s="19">
        <f t="shared" ca="1" si="8"/>
        <v>0.28719159607167172</v>
      </c>
    </row>
  </sheetData>
  <mergeCells count="1">
    <mergeCell ref="A1:I1"/>
  </mergeCells>
  <printOptions horizontalCentered="1"/>
  <pageMargins left="0.98425196850393704" right="0.78740157480314965" top="1.3779527559055118" bottom="1.5748031496062993" header="0.51181102362204722" footer="0.51181102362204722"/>
  <pageSetup paperSize="9" scale="86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N20" sqref="N20"/>
    </sheetView>
  </sheetViews>
  <sheetFormatPr baseColWidth="10" defaultColWidth="8.7109375" defaultRowHeight="13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true</CT_x0020_Image>
  </documentManagement>
</p:properties>
</file>

<file path=customXml/itemProps1.xml><?xml version="1.0" encoding="utf-8"?>
<ds:datastoreItem xmlns:ds="http://schemas.openxmlformats.org/officeDocument/2006/customXml" ds:itemID="{BDF52BB4-14A6-4A17-987A-EA5FB9FA7C80}"/>
</file>

<file path=customXml/itemProps2.xml><?xml version="1.0" encoding="utf-8"?>
<ds:datastoreItem xmlns:ds="http://schemas.openxmlformats.org/officeDocument/2006/customXml" ds:itemID="{2B1DE062-9388-4F29-B524-112C30760096}"/>
</file>

<file path=customXml/itemProps3.xml><?xml version="1.0" encoding="utf-8"?>
<ds:datastoreItem xmlns:ds="http://schemas.openxmlformats.org/officeDocument/2006/customXml" ds:itemID="{4579923D-1852-4A5F-949F-1A7FC1AFD9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UT-GOM2-1-H005-4FB-3</vt:lpstr>
      <vt:lpstr>UT-GOM2-1-H005-4FB-3 table</vt:lpstr>
      <vt:lpstr>graph</vt:lpstr>
    </vt:vector>
  </TitlesOfParts>
  <Company>Geotek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Mel</cp:lastModifiedBy>
  <cp:lastPrinted>2017-05-08T14:45:57Z</cp:lastPrinted>
  <dcterms:created xsi:type="dcterms:W3CDTF">2012-06-25T14:59:26Z</dcterms:created>
  <dcterms:modified xsi:type="dcterms:W3CDTF">2017-06-09T12:25:24Z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