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date1904="1" showInkAnnotation="0" codeName="ThisWorkbook" autoCompressPictures="0"/>
  <bookViews>
    <workbookView xWindow="12480" yWindow="3880" windowWidth="26660" windowHeight="16480" tabRatio="623" activeTab="2"/>
  </bookViews>
  <sheets>
    <sheet name="UT-GOM2-1-H005-3FB-3" sheetId="27" r:id="rId1"/>
    <sheet name="UT-GOM2-1-H005-3FB-3 table" sheetId="30" r:id="rId2"/>
    <sheet name="graph" sheetId="31" r:id="rId3"/>
  </sheets>
  <definedNames>
    <definedName name="_xlnm.Print_Area" localSheetId="0">'UT-GOM2-1-H005-3FB-3'!#REF!</definedName>
    <definedName name="_xlnm.Print_Area" localSheetId="1">'UT-GOM2-1-H005-3FB-3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30" l="1"/>
  <c r="B21" i="30"/>
  <c r="C21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E21" i="30"/>
  <c r="F21" i="30"/>
  <c r="G21" i="30"/>
  <c r="D22" i="30"/>
  <c r="D23" i="30"/>
  <c r="D24" i="30"/>
  <c r="D25" i="30"/>
  <c r="H21" i="30"/>
  <c r="I21" i="30"/>
  <c r="A22" i="30"/>
  <c r="B22" i="30"/>
  <c r="C22" i="30"/>
  <c r="E22" i="30"/>
  <c r="F22" i="30"/>
  <c r="G22" i="30"/>
  <c r="D26" i="30"/>
  <c r="H22" i="30"/>
  <c r="I22" i="30"/>
  <c r="A23" i="30"/>
  <c r="B23" i="30"/>
  <c r="C23" i="30"/>
  <c r="E23" i="30"/>
  <c r="F23" i="30"/>
  <c r="G23" i="30"/>
  <c r="D27" i="30"/>
  <c r="H23" i="30"/>
  <c r="I23" i="30"/>
  <c r="A24" i="30"/>
  <c r="B24" i="30"/>
  <c r="C24" i="30"/>
  <c r="E24" i="30"/>
  <c r="F24" i="30"/>
  <c r="G24" i="30"/>
  <c r="D28" i="30"/>
  <c r="H24" i="30"/>
  <c r="I24" i="30"/>
  <c r="A25" i="30"/>
  <c r="B25" i="30"/>
  <c r="C25" i="30"/>
  <c r="E25" i="30"/>
  <c r="F25" i="30"/>
  <c r="G25" i="30"/>
  <c r="D29" i="30"/>
  <c r="H25" i="30"/>
  <c r="I25" i="30"/>
  <c r="A26" i="30"/>
  <c r="B26" i="30"/>
  <c r="C26" i="30"/>
  <c r="E26" i="30"/>
  <c r="F26" i="30"/>
  <c r="G26" i="30"/>
  <c r="D30" i="30"/>
  <c r="H26" i="30"/>
  <c r="I26" i="30"/>
  <c r="A27" i="30"/>
  <c r="B27" i="30"/>
  <c r="C27" i="30"/>
  <c r="E27" i="30"/>
  <c r="F27" i="30"/>
  <c r="G27" i="30"/>
  <c r="D31" i="30"/>
  <c r="H27" i="30"/>
  <c r="I27" i="30"/>
  <c r="A28" i="30"/>
  <c r="B28" i="30"/>
  <c r="C28" i="30"/>
  <c r="E28" i="30"/>
  <c r="F28" i="30"/>
  <c r="G28" i="30"/>
  <c r="D32" i="30"/>
  <c r="H28" i="30"/>
  <c r="I28" i="30"/>
  <c r="A29" i="30"/>
  <c r="B29" i="30"/>
  <c r="C29" i="30"/>
  <c r="E29" i="30"/>
  <c r="F29" i="30"/>
  <c r="G29" i="30"/>
  <c r="D33" i="30"/>
  <c r="H29" i="30"/>
  <c r="I29" i="30"/>
  <c r="A30" i="30"/>
  <c r="B30" i="30"/>
  <c r="C30" i="30"/>
  <c r="E30" i="30"/>
  <c r="F30" i="30"/>
  <c r="G30" i="30"/>
  <c r="H30" i="30"/>
  <c r="I30" i="30"/>
  <c r="A31" i="30"/>
  <c r="B31" i="30"/>
  <c r="C31" i="30"/>
  <c r="E31" i="30"/>
  <c r="F31" i="30"/>
  <c r="G31" i="30"/>
  <c r="H31" i="30"/>
  <c r="I31" i="30"/>
  <c r="A32" i="30"/>
  <c r="B32" i="30"/>
  <c r="C32" i="30"/>
  <c r="E32" i="30"/>
  <c r="F32" i="30"/>
  <c r="G32" i="30"/>
  <c r="H32" i="30"/>
  <c r="I32" i="30"/>
  <c r="A33" i="30"/>
  <c r="B33" i="30"/>
  <c r="C33" i="30"/>
  <c r="E33" i="30"/>
  <c r="F33" i="30"/>
  <c r="G33" i="30"/>
  <c r="H33" i="30"/>
  <c r="I33" i="30"/>
  <c r="X8" i="27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19" i="27"/>
  <c r="Y19" i="27"/>
  <c r="X20" i="27"/>
  <c r="Y20" i="27"/>
  <c r="X21" i="27"/>
  <c r="Y21" i="27"/>
  <c r="X22" i="27"/>
  <c r="Y22" i="27"/>
  <c r="X23" i="27"/>
  <c r="Y23" i="27"/>
  <c r="X24" i="27"/>
  <c r="Y24" i="27"/>
  <c r="X25" i="27"/>
  <c r="Y25" i="27"/>
  <c r="X26" i="27"/>
  <c r="Y26" i="27"/>
  <c r="X27" i="27"/>
  <c r="Y27" i="27"/>
  <c r="X28" i="27"/>
  <c r="Y28" i="27"/>
  <c r="X29" i="27"/>
  <c r="Y29" i="27"/>
  <c r="X30" i="27"/>
  <c r="Y30" i="27"/>
  <c r="X31" i="27"/>
  <c r="Y31" i="27"/>
  <c r="X32" i="27"/>
  <c r="Y32" i="27"/>
  <c r="X33" i="27"/>
  <c r="Y33" i="27"/>
  <c r="X34" i="27"/>
  <c r="Y34" i="27"/>
  <c r="X35" i="27"/>
  <c r="Y35" i="27"/>
  <c r="X7" i="27"/>
  <c r="Y7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18" i="27"/>
  <c r="A35" i="27"/>
  <c r="O35" i="27"/>
  <c r="Q35" i="27"/>
  <c r="R35" i="27"/>
  <c r="S35" i="27"/>
  <c r="U35" i="27"/>
  <c r="AB35" i="27"/>
  <c r="O29" i="27"/>
  <c r="Q29" i="27"/>
  <c r="S29" i="27"/>
  <c r="AB29" i="27"/>
  <c r="O30" i="27"/>
  <c r="Q30" i="27"/>
  <c r="S30" i="27"/>
  <c r="AB30" i="27"/>
  <c r="O31" i="27"/>
  <c r="Q31" i="27"/>
  <c r="S31" i="27"/>
  <c r="AB31" i="27"/>
  <c r="O32" i="27"/>
  <c r="Q32" i="27"/>
  <c r="S32" i="27"/>
  <c r="AB32" i="27"/>
  <c r="O33" i="27"/>
  <c r="Q33" i="27"/>
  <c r="S33" i="27"/>
  <c r="AB33" i="27"/>
  <c r="O34" i="27"/>
  <c r="Q34" i="27"/>
  <c r="S34" i="27"/>
  <c r="AB34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6" i="27"/>
  <c r="N2" i="27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R28" i="27"/>
  <c r="W6" i="27"/>
  <c r="Y6" i="27"/>
  <c r="W7" i="27"/>
  <c r="W8" i="27"/>
  <c r="W9" i="27"/>
  <c r="W10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O19" i="27"/>
  <c r="O7" i="27"/>
  <c r="P7" i="27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O22" i="27"/>
  <c r="O23" i="27"/>
  <c r="O24" i="27"/>
  <c r="O25" i="27"/>
  <c r="O26" i="27"/>
  <c r="O27" i="27"/>
  <c r="O28" i="27"/>
  <c r="S6" i="27"/>
  <c r="Q6" i="27"/>
  <c r="S7" i="27"/>
  <c r="U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Q16" i="27"/>
  <c r="S17" i="27"/>
  <c r="Q17" i="27"/>
  <c r="S18" i="27"/>
  <c r="Q18" i="27"/>
  <c r="S19" i="27"/>
  <c r="U19" i="27"/>
  <c r="Q19" i="27"/>
  <c r="S20" i="27"/>
  <c r="Q20" i="27"/>
  <c r="U20" i="27"/>
  <c r="S21" i="27"/>
  <c r="Q21" i="27"/>
  <c r="S22" i="27"/>
  <c r="Q22" i="27"/>
  <c r="S23" i="27"/>
  <c r="Q23" i="27"/>
  <c r="S24" i="27"/>
  <c r="Q24" i="27"/>
  <c r="S25" i="27"/>
  <c r="Q25" i="27"/>
  <c r="S26" i="27"/>
  <c r="Q26" i="27"/>
  <c r="S27" i="27"/>
  <c r="Q27" i="27"/>
  <c r="S28" i="27"/>
  <c r="Q28" i="27"/>
  <c r="U28" i="27"/>
  <c r="A1" i="30"/>
  <c r="C6" i="30"/>
  <c r="C4" i="30"/>
  <c r="C7" i="30"/>
  <c r="A11" i="30"/>
  <c r="B10" i="30"/>
  <c r="E17" i="30"/>
  <c r="F4" i="30"/>
  <c r="A18" i="30"/>
  <c r="G6" i="30"/>
  <c r="G14" i="30"/>
  <c r="C5" i="30"/>
  <c r="G11" i="30"/>
  <c r="B6" i="30"/>
  <c r="G17" i="30"/>
  <c r="C19" i="30"/>
  <c r="C10" i="30"/>
  <c r="I4" i="30"/>
  <c r="C8" i="30"/>
  <c r="C15" i="30"/>
  <c r="A19" i="30"/>
  <c r="F17" i="30"/>
  <c r="A6" i="30"/>
  <c r="G8" i="30"/>
  <c r="B14" i="30"/>
  <c r="E14" i="30"/>
  <c r="E16" i="30"/>
  <c r="A14" i="30"/>
  <c r="F20" i="30"/>
  <c r="C16" i="30"/>
  <c r="F11" i="30"/>
  <c r="A4" i="30"/>
  <c r="B16" i="30"/>
  <c r="F8" i="30"/>
  <c r="A15" i="30"/>
  <c r="G15" i="30"/>
  <c r="B13" i="30"/>
  <c r="C18" i="30"/>
  <c r="G5" i="30"/>
  <c r="E7" i="30"/>
  <c r="B15" i="30"/>
  <c r="E19" i="30"/>
  <c r="F19" i="30"/>
  <c r="E15" i="30"/>
  <c r="A8" i="30"/>
  <c r="B11" i="30"/>
  <c r="E6" i="30"/>
  <c r="C11" i="30"/>
  <c r="G18" i="30"/>
  <c r="G10" i="30"/>
  <c r="F9" i="30"/>
  <c r="F10" i="30"/>
  <c r="F15" i="30"/>
  <c r="A5" i="30"/>
  <c r="G13" i="30"/>
  <c r="E20" i="30"/>
  <c r="B5" i="30"/>
  <c r="G16" i="30"/>
  <c r="C13" i="30"/>
  <c r="E5" i="30"/>
  <c r="G19" i="30"/>
  <c r="C17" i="30"/>
  <c r="C12" i="30"/>
  <c r="A10" i="30"/>
  <c r="B19" i="30"/>
  <c r="G9" i="30"/>
  <c r="F18" i="30"/>
  <c r="F6" i="30"/>
  <c r="G12" i="30"/>
  <c r="A12" i="30"/>
  <c r="E13" i="30"/>
  <c r="A7" i="30"/>
  <c r="A13" i="30"/>
  <c r="A9" i="30"/>
  <c r="G4" i="30"/>
  <c r="G20" i="30"/>
  <c r="B8" i="30"/>
  <c r="F14" i="30"/>
  <c r="E8" i="30"/>
  <c r="B9" i="30"/>
  <c r="F5" i="30"/>
  <c r="B7" i="30"/>
  <c r="A20" i="30"/>
  <c r="B20" i="30"/>
  <c r="E18" i="30"/>
  <c r="C14" i="30"/>
  <c r="B12" i="30"/>
  <c r="F7" i="30"/>
  <c r="B17" i="30"/>
  <c r="A17" i="30"/>
  <c r="C20" i="30"/>
  <c r="F16" i="30"/>
  <c r="E4" i="30"/>
  <c r="F13" i="30"/>
  <c r="A16" i="30"/>
  <c r="F12" i="30"/>
  <c r="B4" i="30"/>
  <c r="G7" i="30"/>
  <c r="C9" i="30"/>
  <c r="B18" i="30"/>
  <c r="U25" i="27"/>
  <c r="U22" i="27"/>
  <c r="U17" i="27"/>
  <c r="U16" i="27"/>
  <c r="U15" i="27"/>
  <c r="U18" i="27"/>
  <c r="U27" i="27"/>
  <c r="U26" i="27"/>
  <c r="U23" i="27"/>
  <c r="U21" i="27"/>
  <c r="U10" i="27"/>
  <c r="U9" i="27"/>
  <c r="U24" i="27"/>
  <c r="U6" i="27"/>
  <c r="V6" i="27"/>
  <c r="Z6" i="27"/>
  <c r="R31" i="27"/>
  <c r="R34" i="27"/>
  <c r="R30" i="27"/>
  <c r="R29" i="27"/>
  <c r="R33" i="27"/>
  <c r="R32" i="27"/>
  <c r="U8" i="27"/>
  <c r="U29" i="27"/>
  <c r="W11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I8" i="30"/>
  <c r="I7" i="30"/>
  <c r="I6" i="30"/>
  <c r="I5" i="30"/>
  <c r="E9" i="30"/>
  <c r="U30" i="27"/>
  <c r="U11" i="27"/>
  <c r="V7" i="27"/>
  <c r="Z7" i="27"/>
  <c r="W12" i="27"/>
  <c r="E10" i="30"/>
  <c r="I9" i="30"/>
  <c r="V8" i="27"/>
  <c r="Z8" i="27"/>
  <c r="U12" i="27"/>
  <c r="U31" i="27"/>
  <c r="W13" i="27"/>
  <c r="I10" i="30"/>
  <c r="E11" i="30"/>
  <c r="V9" i="27"/>
  <c r="V10" i="27"/>
  <c r="U32" i="27"/>
  <c r="U13" i="27"/>
  <c r="W14" i="27"/>
  <c r="I11" i="30"/>
  <c r="E12" i="30"/>
  <c r="Z9" i="27"/>
  <c r="U14" i="27"/>
  <c r="U33" i="27"/>
  <c r="U34" i="27"/>
  <c r="W15" i="27"/>
  <c r="V11" i="27"/>
  <c r="Z10" i="27"/>
  <c r="I12" i="30"/>
  <c r="W16" i="27"/>
  <c r="V12" i="27"/>
  <c r="Z11" i="27"/>
  <c r="I13" i="30"/>
  <c r="W17" i="27"/>
  <c r="Z12" i="27"/>
  <c r="V13" i="27"/>
  <c r="I14" i="30"/>
  <c r="W18" i="27"/>
  <c r="Z13" i="27"/>
  <c r="V14" i="27"/>
  <c r="I15" i="30"/>
  <c r="W19" i="27"/>
  <c r="Z14" i="27"/>
  <c r="V15" i="27"/>
  <c r="I16" i="30"/>
  <c r="W20" i="27"/>
  <c r="V16" i="27"/>
  <c r="Z15" i="27"/>
  <c r="I17" i="30"/>
  <c r="W21" i="27"/>
  <c r="Z16" i="27"/>
  <c r="V17" i="27"/>
  <c r="I18" i="30"/>
  <c r="W22" i="27"/>
  <c r="V18" i="27"/>
  <c r="Z17" i="27"/>
  <c r="I19" i="30"/>
  <c r="W23" i="27"/>
  <c r="V19" i="27"/>
  <c r="Z18" i="27"/>
  <c r="I20" i="30"/>
  <c r="W24" i="27"/>
  <c r="V20" i="27"/>
  <c r="Z19" i="27"/>
  <c r="W25" i="27"/>
  <c r="Z20" i="27"/>
  <c r="V21" i="27"/>
  <c r="W26" i="27"/>
  <c r="V22" i="27"/>
  <c r="Z21" i="27"/>
  <c r="W27" i="27"/>
  <c r="Z22" i="27"/>
  <c r="V23" i="27"/>
  <c r="W28" i="27"/>
  <c r="V24" i="27"/>
  <c r="Z23" i="27"/>
  <c r="W29" i="27"/>
  <c r="V25" i="27"/>
  <c r="Z24" i="27"/>
  <c r="W30" i="27"/>
  <c r="V26" i="27"/>
  <c r="Z25" i="27"/>
  <c r="W31" i="27"/>
  <c r="Z26" i="27"/>
  <c r="V27" i="27"/>
  <c r="W32" i="27"/>
  <c r="Z27" i="27"/>
  <c r="V28" i="27"/>
  <c r="W33" i="27"/>
  <c r="V29" i="27"/>
  <c r="Z28" i="27"/>
  <c r="H4" i="30"/>
  <c r="W34" i="27"/>
  <c r="V30" i="27"/>
  <c r="Z29" i="27"/>
  <c r="H5" i="30"/>
  <c r="W35" i="27"/>
  <c r="Z30" i="27"/>
  <c r="V31" i="27"/>
  <c r="H6" i="30"/>
  <c r="Z31" i="27"/>
  <c r="V32" i="27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Z32" i="27"/>
  <c r="V33" i="27"/>
  <c r="V34" i="27"/>
  <c r="V35" i="27"/>
  <c r="Z35" i="27"/>
  <c r="Z33" i="27"/>
  <c r="Z34" i="27"/>
</calcChain>
</file>

<file path=xl/sharedStrings.xml><?xml version="1.0" encoding="utf-8"?>
<sst xmlns="http://schemas.openxmlformats.org/spreadsheetml/2006/main" count="87" uniqueCount="73">
  <si>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</si>
  <si>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</si>
  <si>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</si>
  <si>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</si>
  <si>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</si>
  <si>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</si>
  <si>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</si>
  <si>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</si>
  <si>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</si>
  <si>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</si>
  <si>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</si>
  <si>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</si>
  <si>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</si>
  <si>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</si>
  <si>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</si>
  <si>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</si>
  <si>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</si>
  <si>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</si>
  <si>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</si>
  <si>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</si>
  <si>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</si>
  <si>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</si>
  <si>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</si>
  <si>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</si>
  <si>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</si>
  <si>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</si>
  <si>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</si>
  <si>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</si>
  <si>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</si>
  <si>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</si>
  <si>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</si>
  <si>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</si>
  <si>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</si>
  <si>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</si>
  <si>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</si>
  <si>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</si>
  <si>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</si>
  <si>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</si>
  <si>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</si>
  <si>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</si>
  <si>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</si>
  <si>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</si>
  <si>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</si>
  <si>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</si>
  <si>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</si>
  <si>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</si>
  <si>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</si>
  <si>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</si>
  <si>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Green</t>
  </si>
  <si>
    <t>for plot</t>
  </si>
  <si>
    <t>End P
(MPa)</t>
  </si>
  <si>
    <t>UT-GOM2-1-H005-3FB-3 / 035-028</t>
  </si>
  <si>
    <t>Cu tube 52</t>
  </si>
  <si>
    <t>Cu tube 60</t>
  </si>
  <si>
    <t>Cu tube 63</t>
  </si>
  <si>
    <t>UT-GOM2-1-H005-3FB-3</t>
  </si>
  <si>
    <t>14G</t>
  </si>
  <si>
    <t>15G</t>
  </si>
  <si>
    <t>16G</t>
  </si>
  <si>
    <t>17G</t>
  </si>
  <si>
    <t>18G</t>
  </si>
  <si>
    <t>19G</t>
  </si>
  <si>
    <t>20G</t>
  </si>
  <si>
    <t>21G</t>
  </si>
  <si>
    <t>22G</t>
  </si>
  <si>
    <t>23G</t>
  </si>
  <si>
    <t>24G</t>
  </si>
  <si>
    <t>25G</t>
  </si>
  <si>
    <t>26G</t>
  </si>
  <si>
    <t>27G</t>
  </si>
  <si>
    <t>28G</t>
  </si>
  <si>
    <t>29G</t>
  </si>
  <si>
    <t>30G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</si>
</sst>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8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'UT-GOM2-1-H005-3FB-3'!$Z$4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'UT-GOM2-1-H005-3FB-3'!$Z$6:$Z$34</c:f>
              <c:numCache>
                <c:formatCode>0.00</c:formatCode>
                <c:ptCount val="29"/>
                <c:pt idx="0">
                  <c:v>0.0</c:v>
                </c:pt>
                <c:pt idx="1">
                  <c:v>0.651630131817772</c:v>
                </c:pt>
                <c:pt idx="2">
                  <c:v>0.953221725849195</c:v>
                </c:pt>
                <c:pt idx="3">
                  <c:v>0.730303042337226</c:v>
                </c:pt>
                <c:pt idx="4">
                  <c:v>1.099273596737695</c:v>
                </c:pt>
                <c:pt idx="5">
                  <c:v>1.16035609960341</c:v>
                </c:pt>
                <c:pt idx="6">
                  <c:v>1.214046082391359</c:v>
                </c:pt>
                <c:pt idx="7">
                  <c:v>1.301507319160917</c:v>
                </c:pt>
                <c:pt idx="8">
                  <c:v>1.391009711502878</c:v>
                </c:pt>
                <c:pt idx="9">
                  <c:v>1.740645388484611</c:v>
                </c:pt>
                <c:pt idx="10">
                  <c:v>1.929808548177602</c:v>
                </c:pt>
                <c:pt idx="11">
                  <c:v>2.462436157867476</c:v>
                </c:pt>
                <c:pt idx="12">
                  <c:v>3.53132295525087</c:v>
                </c:pt>
                <c:pt idx="13">
                  <c:v>5.739246269494223</c:v>
                </c:pt>
                <c:pt idx="14">
                  <c:v>7.569944438068809</c:v>
                </c:pt>
                <c:pt idx="15">
                  <c:v>9.526372134167076</c:v>
                </c:pt>
                <c:pt idx="16">
                  <c:v>10.55557857285105</c:v>
                </c:pt>
                <c:pt idx="17">
                  <c:v>11.61352868615532</c:v>
                </c:pt>
                <c:pt idx="18">
                  <c:v>14.21451663696848</c:v>
                </c:pt>
                <c:pt idx="19">
                  <c:v>16.27464650323989</c:v>
                </c:pt>
                <c:pt idx="20">
                  <c:v>17.67880284767992</c:v>
                </c:pt>
                <c:pt idx="21">
                  <c:v>19.68192912786981</c:v>
                </c:pt>
                <c:pt idx="22">
                  <c:v>21.6291512103742</c:v>
                </c:pt>
                <c:pt idx="23">
                  <c:v>23.06396355799465</c:v>
                </c:pt>
                <c:pt idx="24">
                  <c:v>23.82742802490199</c:v>
                </c:pt>
                <c:pt idx="25">
                  <c:v>24.28913135621412</c:v>
                </c:pt>
                <c:pt idx="26">
                  <c:v>24.3999249343925</c:v>
                </c:pt>
                <c:pt idx="27">
                  <c:v>24.75005301540713</c:v>
                </c:pt>
                <c:pt idx="28">
                  <c:v>24.6481524479295</c:v>
                </c:pt>
              </c:numCache>
            </c:numRef>
          </c:xVal>
          <c:yVal>
            <c:numRef>
              <c:f>'UT-GOM2-1-H005-3FB-3'!$AB$6:$AB$34</c:f>
              <c:numCache>
                <c:formatCode>0.0</c:formatCode>
                <c:ptCount val="29"/>
                <c:pt idx="0">
                  <c:v>20.2</c:v>
                </c:pt>
                <c:pt idx="1">
                  <c:v>15.1</c:v>
                </c:pt>
                <c:pt idx="2">
                  <c:v>9.6</c:v>
                </c:pt>
                <c:pt idx="3">
                  <c:v>5.6</c:v>
                </c:pt>
                <c:pt idx="4">
                  <c:v>5.8</c:v>
                </c:pt>
                <c:pt idx="5">
                  <c:v>5.7</c:v>
                </c:pt>
                <c:pt idx="6">
                  <c:v>5.5</c:v>
                </c:pt>
                <c:pt idx="7">
                  <c:v>5.4</c:v>
                </c:pt>
                <c:pt idx="8">
                  <c:v>5.2</c:v>
                </c:pt>
                <c:pt idx="9">
                  <c:v>5.3</c:v>
                </c:pt>
                <c:pt idx="10">
                  <c:v>4.7</c:v>
                </c:pt>
                <c:pt idx="11">
                  <c:v>4.0</c:v>
                </c:pt>
                <c:pt idx="12">
                  <c:v>4.0</c:v>
                </c:pt>
                <c:pt idx="13">
                  <c:v>3.7</c:v>
                </c:pt>
                <c:pt idx="14">
                  <c:v>4.1</c:v>
                </c:pt>
                <c:pt idx="15">
                  <c:v>4.2</c:v>
                </c:pt>
                <c:pt idx="16">
                  <c:v>4.0</c:v>
                </c:pt>
                <c:pt idx="17">
                  <c:v>3.6</c:v>
                </c:pt>
                <c:pt idx="18">
                  <c:v>3.7</c:v>
                </c:pt>
                <c:pt idx="19">
                  <c:v>3.8</c:v>
                </c:pt>
                <c:pt idx="20">
                  <c:v>3.6</c:v>
                </c:pt>
                <c:pt idx="21">
                  <c:v>3.3</c:v>
                </c:pt>
                <c:pt idx="22">
                  <c:v>3.3</c:v>
                </c:pt>
                <c:pt idx="23">
                  <c:v>2.9</c:v>
                </c:pt>
                <c:pt idx="24">
                  <c:v>2.2</c:v>
                </c:pt>
                <c:pt idx="25">
                  <c:v>1.6</c:v>
                </c:pt>
                <c:pt idx="26">
                  <c:v>1.0</c:v>
                </c:pt>
                <c:pt idx="27">
                  <c:v>0.5</c:v>
                </c:pt>
                <c:pt idx="28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'UT-GOM2-1-H005-3FB-3'!$U$4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'UT-GOM2-1-H005-3FB-3'!$V$6:$V$34</c:f>
              <c:numCache>
                <c:formatCode>0.00</c:formatCode>
                <c:ptCount val="2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0.748862205007001</c:v>
                </c:pt>
                <c:pt idx="14">
                  <c:v>1.322811896673179</c:v>
                </c:pt>
                <c:pt idx="15">
                  <c:v>2.522648388858163</c:v>
                </c:pt>
                <c:pt idx="16">
                  <c:v>3.772861646870237</c:v>
                </c:pt>
                <c:pt idx="17">
                  <c:v>5.361399968605988</c:v>
                </c:pt>
                <c:pt idx="18">
                  <c:v>7.0191380815554</c:v>
                </c:pt>
                <c:pt idx="19">
                  <c:v>8.437012254241347</c:v>
                </c:pt>
                <c:pt idx="20">
                  <c:v>10.01903089472557</c:v>
                </c:pt>
                <c:pt idx="21">
                  <c:v>11.70747522559123</c:v>
                </c:pt>
                <c:pt idx="22">
                  <c:v>13.53937947677127</c:v>
                </c:pt>
                <c:pt idx="23">
                  <c:v>15.26554393621351</c:v>
                </c:pt>
                <c:pt idx="24">
                  <c:v>17.10574243516144</c:v>
                </c:pt>
                <c:pt idx="25">
                  <c:v>18.95730064230693</c:v>
                </c:pt>
                <c:pt idx="26">
                  <c:v>20.83724822959989</c:v>
                </c:pt>
                <c:pt idx="27">
                  <c:v>22.68959736113474</c:v>
                </c:pt>
                <c:pt idx="28">
                  <c:v>24.22211095198685</c:v>
                </c:pt>
              </c:numCache>
            </c:numRef>
          </c:xVal>
          <c:yVal>
            <c:numRef>
              <c:f>'UT-GOM2-1-H005-3FB-3'!$AB$6:$AB$34</c:f>
              <c:numCache>
                <c:formatCode>0.0</c:formatCode>
                <c:ptCount val="29"/>
                <c:pt idx="0">
                  <c:v>20.2</c:v>
                </c:pt>
                <c:pt idx="1">
                  <c:v>15.1</c:v>
                </c:pt>
                <c:pt idx="2">
                  <c:v>9.6</c:v>
                </c:pt>
                <c:pt idx="3">
                  <c:v>5.6</c:v>
                </c:pt>
                <c:pt idx="4">
                  <c:v>5.8</c:v>
                </c:pt>
                <c:pt idx="5">
                  <c:v>5.7</c:v>
                </c:pt>
                <c:pt idx="6">
                  <c:v>5.5</c:v>
                </c:pt>
                <c:pt idx="7">
                  <c:v>5.4</c:v>
                </c:pt>
                <c:pt idx="8">
                  <c:v>5.2</c:v>
                </c:pt>
                <c:pt idx="9">
                  <c:v>5.3</c:v>
                </c:pt>
                <c:pt idx="10">
                  <c:v>4.7</c:v>
                </c:pt>
                <c:pt idx="11">
                  <c:v>4.0</c:v>
                </c:pt>
                <c:pt idx="12">
                  <c:v>4.0</c:v>
                </c:pt>
                <c:pt idx="13">
                  <c:v>3.7</c:v>
                </c:pt>
                <c:pt idx="14">
                  <c:v>4.1</c:v>
                </c:pt>
                <c:pt idx="15">
                  <c:v>4.2</c:v>
                </c:pt>
                <c:pt idx="16">
                  <c:v>4.0</c:v>
                </c:pt>
                <c:pt idx="17">
                  <c:v>3.6</c:v>
                </c:pt>
                <c:pt idx="18">
                  <c:v>3.7</c:v>
                </c:pt>
                <c:pt idx="19">
                  <c:v>3.8</c:v>
                </c:pt>
                <c:pt idx="20">
                  <c:v>3.6</c:v>
                </c:pt>
                <c:pt idx="21">
                  <c:v>3.3</c:v>
                </c:pt>
                <c:pt idx="22">
                  <c:v>3.3</c:v>
                </c:pt>
                <c:pt idx="23">
                  <c:v>2.9</c:v>
                </c:pt>
                <c:pt idx="24">
                  <c:v>2.2</c:v>
                </c:pt>
                <c:pt idx="25">
                  <c:v>1.6</c:v>
                </c:pt>
                <c:pt idx="26">
                  <c:v>1.0</c:v>
                </c:pt>
                <c:pt idx="27">
                  <c:v>0.5</c:v>
                </c:pt>
                <c:pt idx="28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'UT-GOM2-1-H005-3FB-3'!$W$4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'UT-GOM2-1-H005-3FB-3'!$Y$6:$Y$34</c:f>
              <c:numCache>
                <c:formatCode>0.00</c:formatCode>
                <c:ptCount val="29"/>
                <c:pt idx="0">
                  <c:v>0.0</c:v>
                </c:pt>
                <c:pt idx="1">
                  <c:v>0.651630131817772</c:v>
                </c:pt>
                <c:pt idx="2">
                  <c:v>0.953221725849195</c:v>
                </c:pt>
                <c:pt idx="3">
                  <c:v>0.730303042337226</c:v>
                </c:pt>
                <c:pt idx="4">
                  <c:v>1.099273596737695</c:v>
                </c:pt>
                <c:pt idx="5">
                  <c:v>1.16035609960341</c:v>
                </c:pt>
                <c:pt idx="6">
                  <c:v>1.214046082391359</c:v>
                </c:pt>
                <c:pt idx="7">
                  <c:v>1.301507319160917</c:v>
                </c:pt>
                <c:pt idx="8">
                  <c:v>1.391009711502878</c:v>
                </c:pt>
                <c:pt idx="9">
                  <c:v>1.740645388484611</c:v>
                </c:pt>
                <c:pt idx="10">
                  <c:v>1.929808548177602</c:v>
                </c:pt>
                <c:pt idx="11">
                  <c:v>2.462436157867476</c:v>
                </c:pt>
                <c:pt idx="12">
                  <c:v>3.53132295525087</c:v>
                </c:pt>
                <c:pt idx="13">
                  <c:v>4.990384064487222</c:v>
                </c:pt>
                <c:pt idx="14">
                  <c:v>6.24713254139563</c:v>
                </c:pt>
                <c:pt idx="15">
                  <c:v>7.003723745308912</c:v>
                </c:pt>
                <c:pt idx="16">
                  <c:v>6.782716925980811</c:v>
                </c:pt>
                <c:pt idx="17">
                  <c:v>6.252128717549327</c:v>
                </c:pt>
                <c:pt idx="18">
                  <c:v>7.195378555413079</c:v>
                </c:pt>
                <c:pt idx="19">
                  <c:v>7.837634248998544</c:v>
                </c:pt>
                <c:pt idx="20">
                  <c:v>7.659771952954351</c:v>
                </c:pt>
                <c:pt idx="21">
                  <c:v>7.974453902278577</c:v>
                </c:pt>
                <c:pt idx="22">
                  <c:v>8.089771733602928</c:v>
                </c:pt>
                <c:pt idx="23">
                  <c:v>7.798419621781136</c:v>
                </c:pt>
                <c:pt idx="24">
                  <c:v>6.721685589740557</c:v>
                </c:pt>
                <c:pt idx="25">
                  <c:v>5.331830713907188</c:v>
                </c:pt>
                <c:pt idx="26">
                  <c:v>3.562676704792612</c:v>
                </c:pt>
                <c:pt idx="27">
                  <c:v>2.060455654272388</c:v>
                </c:pt>
                <c:pt idx="28">
                  <c:v>0.426041495942647</c:v>
                </c:pt>
              </c:numCache>
            </c:numRef>
          </c:xVal>
          <c:yVal>
            <c:numRef>
              <c:f>'UT-GOM2-1-H005-3FB-3'!$AB$6:$AB$34</c:f>
              <c:numCache>
                <c:formatCode>0.0</c:formatCode>
                <c:ptCount val="29"/>
                <c:pt idx="0">
                  <c:v>20.2</c:v>
                </c:pt>
                <c:pt idx="1">
                  <c:v>15.1</c:v>
                </c:pt>
                <c:pt idx="2">
                  <c:v>9.6</c:v>
                </c:pt>
                <c:pt idx="3">
                  <c:v>5.6</c:v>
                </c:pt>
                <c:pt idx="4">
                  <c:v>5.8</c:v>
                </c:pt>
                <c:pt idx="5">
                  <c:v>5.7</c:v>
                </c:pt>
                <c:pt idx="6">
                  <c:v>5.5</c:v>
                </c:pt>
                <c:pt idx="7">
                  <c:v>5.4</c:v>
                </c:pt>
                <c:pt idx="8">
                  <c:v>5.2</c:v>
                </c:pt>
                <c:pt idx="9">
                  <c:v>5.3</c:v>
                </c:pt>
                <c:pt idx="10">
                  <c:v>4.7</c:v>
                </c:pt>
                <c:pt idx="11">
                  <c:v>4.0</c:v>
                </c:pt>
                <c:pt idx="12">
                  <c:v>4.0</c:v>
                </c:pt>
                <c:pt idx="13">
                  <c:v>3.7</c:v>
                </c:pt>
                <c:pt idx="14">
                  <c:v>4.1</c:v>
                </c:pt>
                <c:pt idx="15">
                  <c:v>4.2</c:v>
                </c:pt>
                <c:pt idx="16">
                  <c:v>4.0</c:v>
                </c:pt>
                <c:pt idx="17">
                  <c:v>3.6</c:v>
                </c:pt>
                <c:pt idx="18">
                  <c:v>3.7</c:v>
                </c:pt>
                <c:pt idx="19">
                  <c:v>3.8</c:v>
                </c:pt>
                <c:pt idx="20">
                  <c:v>3.6</c:v>
                </c:pt>
                <c:pt idx="21">
                  <c:v>3.3</c:v>
                </c:pt>
                <c:pt idx="22">
                  <c:v>3.3</c:v>
                </c:pt>
                <c:pt idx="23">
                  <c:v>2.9</c:v>
                </c:pt>
                <c:pt idx="24">
                  <c:v>2.2</c:v>
                </c:pt>
                <c:pt idx="25">
                  <c:v>1.6</c:v>
                </c:pt>
                <c:pt idx="26">
                  <c:v>1.0</c:v>
                </c:pt>
                <c:pt idx="27">
                  <c:v>0.5</c:v>
                </c:pt>
                <c:pt idx="28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945432"/>
        <c:axId val="2083183528"/>
      </c:scatterChart>
      <c:valAx>
        <c:axId val="-2066945432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1"/>
              <c:y val="0.9517440718157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3183528"/>
        <c:crosses val="autoZero"/>
        <c:crossBetween val="midCat"/>
        <c:minorUnit val="1.0"/>
      </c:valAx>
      <c:valAx>
        <c:axId val="2083183528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5465057818"/>
              <c:y val="0.406135331978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6945432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"/>
          <c:y val="0.144544546070461"/>
          <c:w val="0.312371794871795"/>
          <c:h val="0.1050558943089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UT-GOM2-1-H005-3FB-3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6"/>
  <sheetViews>
    <sheetView zoomScale="75" zoomScaleNormal="75" zoomScalePageLayoutView="75" workbookViewId="0">
      <selection activeCell="M38" sqref="M38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89" t="s">
        <v>1</v>
      </c>
      <c r="B1" s="90"/>
      <c r="C1" s="90"/>
      <c r="D1" s="90"/>
      <c r="E1" s="90"/>
      <c r="F1" s="91">
        <v>41425</v>
      </c>
      <c r="G1" s="92"/>
      <c r="H1" s="93"/>
      <c r="I1" s="94" t="s">
        <v>11</v>
      </c>
      <c r="J1" s="90"/>
      <c r="K1" s="90"/>
      <c r="L1" s="92" t="s">
        <v>51</v>
      </c>
      <c r="M1" s="92"/>
      <c r="N1" s="93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84" t="s">
        <v>10</v>
      </c>
      <c r="B2" s="85"/>
      <c r="C2" s="85"/>
      <c r="D2" s="85"/>
      <c r="E2" s="85"/>
      <c r="F2" s="86">
        <v>1009</v>
      </c>
      <c r="G2" s="86"/>
      <c r="H2" s="87"/>
      <c r="I2" s="88" t="s">
        <v>4</v>
      </c>
      <c r="J2" s="85"/>
      <c r="K2" s="85"/>
      <c r="L2" s="86" t="s">
        <v>48</v>
      </c>
      <c r="M2" s="86"/>
      <c r="N2" s="67">
        <f>IF(L2="red",4025, IF(L2="green",4140,IF(L2="yellow",4122,IF(L2="blue",4059,0))))</f>
        <v>4140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5" customHeight="1" thickBot="1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Q3" s="79" t="s">
        <v>35</v>
      </c>
      <c r="R3" s="80"/>
      <c r="S3" s="81"/>
    </row>
    <row r="4" spans="1:28" ht="25" customHeight="1">
      <c r="A4" s="103" t="s">
        <v>17</v>
      </c>
      <c r="B4" s="95" t="s">
        <v>16</v>
      </c>
      <c r="C4" s="105" t="s">
        <v>28</v>
      </c>
      <c r="D4" s="97" t="s">
        <v>31</v>
      </c>
      <c r="E4" s="99"/>
      <c r="F4" s="97" t="s">
        <v>3</v>
      </c>
      <c r="G4" s="98"/>
      <c r="H4" s="56"/>
      <c r="I4" s="107" t="s">
        <v>2</v>
      </c>
      <c r="J4" s="107"/>
      <c r="K4" s="107"/>
      <c r="L4" s="108"/>
      <c r="M4" s="109" t="s">
        <v>26</v>
      </c>
      <c r="N4" s="111" t="s">
        <v>29</v>
      </c>
      <c r="O4" s="78" t="s">
        <v>34</v>
      </c>
      <c r="P4" s="77"/>
      <c r="Q4" s="47" t="s">
        <v>37</v>
      </c>
      <c r="R4" s="82" t="s">
        <v>36</v>
      </c>
      <c r="S4" s="83"/>
      <c r="T4" s="51" t="s">
        <v>38</v>
      </c>
      <c r="U4" s="76" t="s">
        <v>32</v>
      </c>
      <c r="V4" s="77"/>
      <c r="W4" s="73" t="s">
        <v>45</v>
      </c>
      <c r="X4" s="74"/>
      <c r="Y4" s="75"/>
      <c r="Z4" s="51" t="s">
        <v>33</v>
      </c>
      <c r="AB4" s="51" t="s">
        <v>49</v>
      </c>
    </row>
    <row r="5" spans="1:28" s="4" customFormat="1" ht="77.25" customHeight="1" thickBot="1">
      <c r="A5" s="104"/>
      <c r="B5" s="96"/>
      <c r="C5" s="106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0"/>
      <c r="N5" s="112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50</v>
      </c>
    </row>
    <row r="6" spans="1:28" s="34" customFormat="1" ht="20.25" customHeight="1">
      <c r="A6" s="23">
        <v>1</v>
      </c>
      <c r="B6" s="24">
        <v>41425</v>
      </c>
      <c r="C6" s="25">
        <v>1.0416666666666666E-2</v>
      </c>
      <c r="D6" s="26">
        <v>202</v>
      </c>
      <c r="E6" s="27">
        <v>202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8</v>
      </c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4140</v>
      </c>
      <c r="S6" s="63">
        <f>IF(I6=J6,0,R6*(J6-I6))*273/(273+L6)</f>
        <v>0</v>
      </c>
      <c r="T6" s="71">
        <f t="shared" ref="T6:T17" si="2">T7</f>
        <v>94.312531048612698</v>
      </c>
      <c r="U6" s="61">
        <f>(S6+Q6)*T6/100</f>
        <v>0</v>
      </c>
      <c r="V6" s="64">
        <f>U6/1000</f>
        <v>0</v>
      </c>
      <c r="W6" s="64">
        <f>(G6+K6)/1000</f>
        <v>0</v>
      </c>
      <c r="X6" s="64">
        <v>0</v>
      </c>
      <c r="Y6" s="64">
        <f>(W6-X6)*(E6+1)*1*273/(273+L6)*T6/100</f>
        <v>0</v>
      </c>
      <c r="Z6" s="64">
        <f>V6+Y6</f>
        <v>0</v>
      </c>
      <c r="AB6" s="70">
        <f>E6/10</f>
        <v>20.2</v>
      </c>
    </row>
    <row r="7" spans="1:28" s="40" customFormat="1" ht="20.25" customHeight="1">
      <c r="A7" s="35">
        <f>A6+1</f>
        <v>2</v>
      </c>
      <c r="B7" s="24">
        <v>41425</v>
      </c>
      <c r="C7" s="25">
        <v>1.0416666666666666E-2</v>
      </c>
      <c r="D7" s="26">
        <v>202</v>
      </c>
      <c r="E7" s="27">
        <v>151</v>
      </c>
      <c r="F7" s="36">
        <v>0</v>
      </c>
      <c r="G7" s="29">
        <v>7</v>
      </c>
      <c r="H7" s="37"/>
      <c r="I7" s="31">
        <v>1</v>
      </c>
      <c r="J7" s="31">
        <v>1</v>
      </c>
      <c r="K7" s="32">
        <v>0</v>
      </c>
      <c r="L7" s="27">
        <v>8</v>
      </c>
      <c r="M7" s="38"/>
      <c r="N7" s="39"/>
      <c r="O7" s="61">
        <f t="shared" ref="O7:O20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4140</v>
      </c>
      <c r="S7" s="63">
        <f t="shared" ref="S7:S20" si="4">IF(I7=J7,0,R7*(J7-I7))*273/(273+L7)</f>
        <v>0</v>
      </c>
      <c r="T7" s="71">
        <f t="shared" si="2"/>
        <v>94.312531048612698</v>
      </c>
      <c r="U7" s="61">
        <f>(S7+Q7)*T7/100</f>
        <v>0</v>
      </c>
      <c r="V7" s="64">
        <f t="shared" ref="V7:V9" si="5">V6+U7/1000</f>
        <v>0</v>
      </c>
      <c r="W7" s="64">
        <f>W6+(G7+K7)/1000</f>
        <v>7.0000000000000001E-3</v>
      </c>
      <c r="X7" s="72">
        <f>0.026*EXP(-0.016*E7)</f>
        <v>2.3212284225418616E-3</v>
      </c>
      <c r="Y7" s="64">
        <f>(W7-(X7-X6))*(E7+1)*1*273/(273+L7)*T7/100</f>
        <v>0.65163013181777218</v>
      </c>
      <c r="Z7" s="64">
        <f>V7+Y7</f>
        <v>0.65163013181777218</v>
      </c>
      <c r="AB7" s="70">
        <f t="shared" ref="AB7:AB28" si="6">E7/10</f>
        <v>15.1</v>
      </c>
    </row>
    <row r="8" spans="1:28" s="40" customFormat="1" ht="20.25" customHeight="1">
      <c r="A8" s="35">
        <f t="shared" ref="A8:A35" si="7">A7+1</f>
        <v>3</v>
      </c>
      <c r="B8" s="24">
        <v>41425</v>
      </c>
      <c r="C8" s="25">
        <v>1.2499999999999999E-2</v>
      </c>
      <c r="D8" s="26">
        <v>151</v>
      </c>
      <c r="E8" s="27">
        <v>96</v>
      </c>
      <c r="F8" s="36">
        <v>0</v>
      </c>
      <c r="G8" s="29">
        <v>7</v>
      </c>
      <c r="H8" s="37"/>
      <c r="I8" s="31">
        <v>1</v>
      </c>
      <c r="J8" s="31">
        <v>1</v>
      </c>
      <c r="K8" s="32">
        <v>0</v>
      </c>
      <c r="L8" s="27">
        <v>8</v>
      </c>
      <c r="M8" s="38"/>
      <c r="N8" s="39"/>
      <c r="O8" s="61">
        <f t="shared" si="3"/>
        <v>2.9999999993015081</v>
      </c>
      <c r="P8" s="64">
        <f t="shared" ref="P8:P20" si="8">P7+O8/60</f>
        <v>4.9999999988358468E-2</v>
      </c>
      <c r="Q8" s="61">
        <f t="shared" si="0"/>
        <v>0</v>
      </c>
      <c r="R8" s="62">
        <f t="shared" si="1"/>
        <v>4140</v>
      </c>
      <c r="S8" s="63">
        <f t="shared" si="4"/>
        <v>0</v>
      </c>
      <c r="T8" s="71">
        <f t="shared" si="2"/>
        <v>94.312531048612698</v>
      </c>
      <c r="U8" s="61">
        <f t="shared" ref="U8:U20" si="9">(S8+Q8)*T8/100</f>
        <v>0</v>
      </c>
      <c r="V8" s="64">
        <f t="shared" si="5"/>
        <v>0</v>
      </c>
      <c r="W8" s="64">
        <f t="shared" ref="W8:W20" si="10">W7+(G8+K8)/1000</f>
        <v>1.4E-2</v>
      </c>
      <c r="X8" s="72">
        <f t="shared" ref="X8:X35" si="11">0.026*EXP(-0.016*E8)</f>
        <v>5.5962489224334567E-3</v>
      </c>
      <c r="Y8" s="64">
        <f t="shared" ref="Y8:Y35" si="12">(W8-(X8-X7))*(E8+1)*1*273/(273+L8)*T8/100</f>
        <v>0.95322172584919529</v>
      </c>
      <c r="Z8" s="64">
        <f t="shared" ref="Z8:Z20" si="13">V8+Y8</f>
        <v>0.95322172584919529</v>
      </c>
      <c r="AB8" s="70">
        <f t="shared" si="6"/>
        <v>9.6</v>
      </c>
    </row>
    <row r="9" spans="1:28" s="40" customFormat="1" ht="20.25" customHeight="1">
      <c r="A9" s="35">
        <f t="shared" si="7"/>
        <v>4</v>
      </c>
      <c r="B9" s="24">
        <v>41425</v>
      </c>
      <c r="C9" s="25">
        <v>2.8472222222222222E-2</v>
      </c>
      <c r="D9" s="26">
        <v>97</v>
      </c>
      <c r="E9" s="27">
        <v>56</v>
      </c>
      <c r="F9" s="36">
        <v>0</v>
      </c>
      <c r="G9" s="29">
        <v>5</v>
      </c>
      <c r="H9" s="37"/>
      <c r="I9" s="31">
        <v>1</v>
      </c>
      <c r="J9" s="31">
        <v>1</v>
      </c>
      <c r="K9" s="32">
        <v>0</v>
      </c>
      <c r="L9" s="27">
        <v>8</v>
      </c>
      <c r="M9" s="38"/>
      <c r="N9" s="39"/>
      <c r="O9" s="61">
        <f t="shared" si="3"/>
        <v>23.000000001629815</v>
      </c>
      <c r="P9" s="64">
        <f t="shared" si="8"/>
        <v>0.43333333334885538</v>
      </c>
      <c r="Q9" s="61">
        <f t="shared" si="0"/>
        <v>0</v>
      </c>
      <c r="R9" s="62">
        <f t="shared" si="1"/>
        <v>4140</v>
      </c>
      <c r="S9" s="63">
        <f t="shared" si="4"/>
        <v>0</v>
      </c>
      <c r="T9" s="71">
        <f t="shared" si="2"/>
        <v>94.312531048612698</v>
      </c>
      <c r="U9" s="61">
        <f t="shared" si="9"/>
        <v>0</v>
      </c>
      <c r="V9" s="64">
        <f t="shared" si="5"/>
        <v>0</v>
      </c>
      <c r="W9" s="64">
        <f t="shared" si="10"/>
        <v>1.9E-2</v>
      </c>
      <c r="X9" s="72">
        <f t="shared" si="11"/>
        <v>1.061317907722599E-2</v>
      </c>
      <c r="Y9" s="64">
        <f t="shared" si="12"/>
        <v>0.7303030423372262</v>
      </c>
      <c r="Z9" s="64">
        <f t="shared" si="13"/>
        <v>0.7303030423372262</v>
      </c>
      <c r="AB9" s="70">
        <f t="shared" si="6"/>
        <v>5.6</v>
      </c>
    </row>
    <row r="10" spans="1:28" s="40" customFormat="1" ht="20.25" customHeight="1">
      <c r="A10" s="35">
        <f t="shared" si="7"/>
        <v>5</v>
      </c>
      <c r="B10" s="24">
        <v>41425</v>
      </c>
      <c r="C10" s="25">
        <v>6.1805555555555558E-2</v>
      </c>
      <c r="D10" s="26">
        <v>68</v>
      </c>
      <c r="E10" s="27">
        <v>58</v>
      </c>
      <c r="F10" s="36">
        <v>0</v>
      </c>
      <c r="G10" s="29">
        <v>1</v>
      </c>
      <c r="H10" s="37"/>
      <c r="I10" s="31">
        <v>1</v>
      </c>
      <c r="J10" s="31">
        <v>1</v>
      </c>
      <c r="K10" s="32">
        <v>0</v>
      </c>
      <c r="L10" s="27">
        <v>8</v>
      </c>
      <c r="M10" s="38"/>
      <c r="N10" s="39"/>
      <c r="O10" s="61">
        <f t="shared" si="3"/>
        <v>47.999999999301508</v>
      </c>
      <c r="P10" s="64">
        <f t="shared" si="8"/>
        <v>1.2333333333372138</v>
      </c>
      <c r="Q10" s="61">
        <f t="shared" si="0"/>
        <v>0</v>
      </c>
      <c r="R10" s="62">
        <f t="shared" si="1"/>
        <v>4140</v>
      </c>
      <c r="S10" s="63">
        <f t="shared" si="4"/>
        <v>0</v>
      </c>
      <c r="T10" s="71">
        <f t="shared" si="2"/>
        <v>94.312531048612698</v>
      </c>
      <c r="U10" s="61">
        <f t="shared" si="9"/>
        <v>0</v>
      </c>
      <c r="V10" s="64">
        <f>V9+U10/1000</f>
        <v>0</v>
      </c>
      <c r="W10" s="64">
        <f t="shared" si="10"/>
        <v>0.02</v>
      </c>
      <c r="X10" s="72">
        <f t="shared" si="11"/>
        <v>1.0278933793078595E-2</v>
      </c>
      <c r="Y10" s="64">
        <f t="shared" si="12"/>
        <v>1.0992735967376948</v>
      </c>
      <c r="Z10" s="64">
        <f t="shared" si="13"/>
        <v>1.0992735967376948</v>
      </c>
      <c r="AB10" s="70">
        <f t="shared" si="6"/>
        <v>5.8</v>
      </c>
    </row>
    <row r="11" spans="1:28" s="40" customFormat="1" ht="20.25" customHeight="1">
      <c r="A11" s="35">
        <f t="shared" si="7"/>
        <v>6</v>
      </c>
      <c r="B11" s="24">
        <v>41425</v>
      </c>
      <c r="C11" s="25">
        <v>8.819444444444445E-2</v>
      </c>
      <c r="D11" s="26">
        <v>66</v>
      </c>
      <c r="E11" s="27">
        <v>57</v>
      </c>
      <c r="F11" s="36">
        <v>0</v>
      </c>
      <c r="G11" s="29">
        <v>2</v>
      </c>
      <c r="H11" s="37"/>
      <c r="I11" s="31">
        <v>1</v>
      </c>
      <c r="J11" s="31">
        <v>1</v>
      </c>
      <c r="K11" s="32">
        <v>0</v>
      </c>
      <c r="L11" s="27">
        <v>8</v>
      </c>
      <c r="M11" s="38"/>
      <c r="N11" s="39"/>
      <c r="O11" s="61">
        <f t="shared" si="3"/>
        <v>37.999999998137355</v>
      </c>
      <c r="P11" s="64">
        <f t="shared" si="8"/>
        <v>1.8666666666395031</v>
      </c>
      <c r="Q11" s="61">
        <f t="shared" si="0"/>
        <v>0</v>
      </c>
      <c r="R11" s="62">
        <f t="shared" si="1"/>
        <v>4140</v>
      </c>
      <c r="S11" s="63">
        <f t="shared" si="4"/>
        <v>0</v>
      </c>
      <c r="T11" s="71">
        <f t="shared" si="2"/>
        <v>94.312531048612698</v>
      </c>
      <c r="U11" s="61">
        <f t="shared" si="9"/>
        <v>0</v>
      </c>
      <c r="V11" s="64">
        <f t="shared" ref="V11:V20" si="14">V10+U11/1000</f>
        <v>0</v>
      </c>
      <c r="W11" s="64">
        <f t="shared" si="10"/>
        <v>2.1999999999999999E-2</v>
      </c>
      <c r="X11" s="72">
        <f t="shared" si="11"/>
        <v>1.0444719482537236E-2</v>
      </c>
      <c r="Y11" s="64">
        <f t="shared" si="12"/>
        <v>1.1603560996034099</v>
      </c>
      <c r="Z11" s="64">
        <f t="shared" si="13"/>
        <v>1.1603560996034099</v>
      </c>
      <c r="AB11" s="70">
        <f t="shared" si="6"/>
        <v>5.7</v>
      </c>
    </row>
    <row r="12" spans="1:28" s="40" customFormat="1" ht="20.25" customHeight="1">
      <c r="A12" s="35">
        <f t="shared" si="7"/>
        <v>7</v>
      </c>
      <c r="B12" s="24">
        <v>41425</v>
      </c>
      <c r="C12" s="25">
        <v>0.10902777777777778</v>
      </c>
      <c r="D12" s="26">
        <v>64</v>
      </c>
      <c r="E12" s="27">
        <v>55</v>
      </c>
      <c r="F12" s="36">
        <v>0</v>
      </c>
      <c r="G12" s="29">
        <v>2</v>
      </c>
      <c r="H12" s="37"/>
      <c r="I12" s="31">
        <v>1</v>
      </c>
      <c r="J12" s="31">
        <v>1</v>
      </c>
      <c r="K12" s="32">
        <v>0</v>
      </c>
      <c r="L12" s="27">
        <v>8</v>
      </c>
      <c r="M12" s="38"/>
      <c r="N12" s="39"/>
      <c r="O12" s="61">
        <f t="shared" si="3"/>
        <v>30.00000000349246</v>
      </c>
      <c r="P12" s="64">
        <f t="shared" si="8"/>
        <v>2.3666666666977108</v>
      </c>
      <c r="Q12" s="61">
        <f t="shared" si="0"/>
        <v>0</v>
      </c>
      <c r="R12" s="62">
        <f t="shared" si="1"/>
        <v>4140</v>
      </c>
      <c r="S12" s="63">
        <f t="shared" si="4"/>
        <v>0</v>
      </c>
      <c r="T12" s="71">
        <f t="shared" si="2"/>
        <v>94.312531048612698</v>
      </c>
      <c r="U12" s="61">
        <f t="shared" si="9"/>
        <v>0</v>
      </c>
      <c r="V12" s="64">
        <f t="shared" si="14"/>
        <v>0</v>
      </c>
      <c r="W12" s="64">
        <f t="shared" si="10"/>
        <v>2.4E-2</v>
      </c>
      <c r="X12" s="72">
        <f t="shared" si="11"/>
        <v>1.0784355703721115E-2</v>
      </c>
      <c r="Y12" s="64">
        <f t="shared" si="12"/>
        <v>1.2140460823913588</v>
      </c>
      <c r="Z12" s="64">
        <f t="shared" si="13"/>
        <v>1.2140460823913588</v>
      </c>
      <c r="AB12" s="70">
        <f t="shared" si="6"/>
        <v>5.5</v>
      </c>
    </row>
    <row r="13" spans="1:28" s="40" customFormat="1" ht="20.25" customHeight="1">
      <c r="A13" s="35">
        <f t="shared" si="7"/>
        <v>8</v>
      </c>
      <c r="B13" s="24">
        <v>41425</v>
      </c>
      <c r="C13" s="25">
        <v>0.14027777777777778</v>
      </c>
      <c r="D13" s="26">
        <v>62</v>
      </c>
      <c r="E13" s="27">
        <v>54</v>
      </c>
      <c r="F13" s="36">
        <v>0</v>
      </c>
      <c r="G13" s="29">
        <v>2</v>
      </c>
      <c r="H13" s="37"/>
      <c r="I13" s="31">
        <v>1</v>
      </c>
      <c r="J13" s="31">
        <v>1</v>
      </c>
      <c r="K13" s="32">
        <v>0</v>
      </c>
      <c r="L13" s="27">
        <v>8</v>
      </c>
      <c r="M13" s="38"/>
      <c r="N13" s="39"/>
      <c r="O13" s="61">
        <f t="shared" si="3"/>
        <v>45</v>
      </c>
      <c r="P13" s="64">
        <f t="shared" si="8"/>
        <v>3.1166666666977108</v>
      </c>
      <c r="Q13" s="61">
        <f t="shared" si="0"/>
        <v>0</v>
      </c>
      <c r="R13" s="62">
        <f t="shared" si="1"/>
        <v>4140</v>
      </c>
      <c r="S13" s="63">
        <f t="shared" si="4"/>
        <v>0</v>
      </c>
      <c r="T13" s="71">
        <f t="shared" si="2"/>
        <v>94.312531048612698</v>
      </c>
      <c r="U13" s="61">
        <f t="shared" si="9"/>
        <v>0</v>
      </c>
      <c r="V13" s="64">
        <f t="shared" si="14"/>
        <v>0</v>
      </c>
      <c r="W13" s="64">
        <f t="shared" si="10"/>
        <v>2.6000000000000002E-2</v>
      </c>
      <c r="X13" s="72">
        <f t="shared" si="11"/>
        <v>1.0958293184173858E-2</v>
      </c>
      <c r="Y13" s="64">
        <f t="shared" si="12"/>
        <v>1.3015073191609172</v>
      </c>
      <c r="Z13" s="64">
        <f t="shared" si="13"/>
        <v>1.3015073191609172</v>
      </c>
      <c r="AB13" s="70">
        <f t="shared" si="6"/>
        <v>5.4</v>
      </c>
    </row>
    <row r="14" spans="1:28" s="40" customFormat="1" ht="20.25" customHeight="1">
      <c r="A14" s="35">
        <f t="shared" si="7"/>
        <v>9</v>
      </c>
      <c r="B14" s="24">
        <v>41425</v>
      </c>
      <c r="C14" s="25">
        <v>0.16250000000000001</v>
      </c>
      <c r="D14" s="26">
        <v>61</v>
      </c>
      <c r="E14" s="27">
        <v>52</v>
      </c>
      <c r="F14" s="36">
        <v>0</v>
      </c>
      <c r="G14" s="29">
        <v>3</v>
      </c>
      <c r="H14" s="37"/>
      <c r="I14" s="31">
        <v>1</v>
      </c>
      <c r="J14" s="31">
        <v>1</v>
      </c>
      <c r="K14" s="32">
        <v>0</v>
      </c>
      <c r="L14" s="27">
        <v>8</v>
      </c>
      <c r="M14" s="38"/>
      <c r="N14" s="39"/>
      <c r="O14" s="61">
        <f t="shared" si="3"/>
        <v>31.999999999534339</v>
      </c>
      <c r="P14" s="64">
        <f t="shared" si="8"/>
        <v>3.6500000000232831</v>
      </c>
      <c r="Q14" s="61">
        <f t="shared" si="0"/>
        <v>0</v>
      </c>
      <c r="R14" s="62">
        <f t="shared" si="1"/>
        <v>4140</v>
      </c>
      <c r="S14" s="63">
        <f t="shared" si="4"/>
        <v>0</v>
      </c>
      <c r="T14" s="71">
        <f t="shared" si="2"/>
        <v>94.312531048612698</v>
      </c>
      <c r="U14" s="61">
        <f t="shared" si="9"/>
        <v>0</v>
      </c>
      <c r="V14" s="64">
        <f t="shared" si="14"/>
        <v>0</v>
      </c>
      <c r="W14" s="64">
        <f t="shared" si="10"/>
        <v>2.9000000000000001E-2</v>
      </c>
      <c r="X14" s="72">
        <f t="shared" si="11"/>
        <v>1.1314629540925273E-2</v>
      </c>
      <c r="Y14" s="64">
        <f t="shared" si="12"/>
        <v>1.3910097115028777</v>
      </c>
      <c r="Z14" s="64">
        <f t="shared" si="13"/>
        <v>1.3910097115028777</v>
      </c>
      <c r="AB14" s="70">
        <f t="shared" si="6"/>
        <v>5.2</v>
      </c>
    </row>
    <row r="15" spans="1:28" s="40" customFormat="1" ht="20.25" customHeight="1">
      <c r="A15" s="35">
        <f t="shared" si="7"/>
        <v>10</v>
      </c>
      <c r="B15" s="24">
        <v>41425</v>
      </c>
      <c r="C15" s="25">
        <v>0.1875</v>
      </c>
      <c r="D15" s="26">
        <v>59</v>
      </c>
      <c r="E15" s="27">
        <v>53</v>
      </c>
      <c r="F15" s="36">
        <v>0</v>
      </c>
      <c r="G15" s="29">
        <v>6</v>
      </c>
      <c r="H15" s="37"/>
      <c r="I15" s="31">
        <v>1</v>
      </c>
      <c r="J15" s="31">
        <v>1</v>
      </c>
      <c r="K15" s="32">
        <v>0</v>
      </c>
      <c r="L15" s="27">
        <v>8</v>
      </c>
      <c r="M15" s="38"/>
      <c r="N15" s="39"/>
      <c r="O15" s="61">
        <f t="shared" si="3"/>
        <v>36.000000002095476</v>
      </c>
      <c r="P15" s="64">
        <f t="shared" si="8"/>
        <v>4.2500000000582077</v>
      </c>
      <c r="Q15" s="61">
        <f t="shared" si="0"/>
        <v>0</v>
      </c>
      <c r="R15" s="62">
        <f t="shared" si="1"/>
        <v>4140</v>
      </c>
      <c r="S15" s="63">
        <f t="shared" si="4"/>
        <v>0</v>
      </c>
      <c r="T15" s="71">
        <f t="shared" si="2"/>
        <v>94.312531048612698</v>
      </c>
      <c r="U15" s="61">
        <f t="shared" si="9"/>
        <v>0</v>
      </c>
      <c r="V15" s="64">
        <f t="shared" si="14"/>
        <v>0</v>
      </c>
      <c r="W15" s="64">
        <f t="shared" si="10"/>
        <v>3.5000000000000003E-2</v>
      </c>
      <c r="X15" s="72">
        <f t="shared" si="11"/>
        <v>1.1135036047529152E-2</v>
      </c>
      <c r="Y15" s="64">
        <f t="shared" si="12"/>
        <v>1.7406453884846109</v>
      </c>
      <c r="Z15" s="64">
        <f t="shared" si="13"/>
        <v>1.7406453884846109</v>
      </c>
      <c r="AB15" s="70">
        <f t="shared" si="6"/>
        <v>5.3</v>
      </c>
    </row>
    <row r="16" spans="1:28" s="40" customFormat="1" ht="20.25" customHeight="1">
      <c r="A16" s="35">
        <f t="shared" si="7"/>
        <v>11</v>
      </c>
      <c r="B16" s="24">
        <v>41425</v>
      </c>
      <c r="C16" s="25">
        <v>0.20833333333333334</v>
      </c>
      <c r="D16" s="26">
        <v>59</v>
      </c>
      <c r="E16" s="27">
        <v>47</v>
      </c>
      <c r="F16" s="36">
        <v>0</v>
      </c>
      <c r="G16" s="29">
        <v>10</v>
      </c>
      <c r="H16" s="37"/>
      <c r="I16" s="31">
        <v>1</v>
      </c>
      <c r="J16" s="31">
        <v>1</v>
      </c>
      <c r="K16" s="32">
        <v>0</v>
      </c>
      <c r="L16" s="27">
        <v>8</v>
      </c>
      <c r="M16" s="38"/>
      <c r="N16" s="39"/>
      <c r="O16" s="61">
        <f t="shared" si="3"/>
        <v>30.00000000349246</v>
      </c>
      <c r="P16" s="64">
        <f t="shared" si="8"/>
        <v>4.7500000001164153</v>
      </c>
      <c r="Q16" s="61">
        <f t="shared" si="0"/>
        <v>0</v>
      </c>
      <c r="R16" s="62">
        <f t="shared" si="1"/>
        <v>4140</v>
      </c>
      <c r="S16" s="63">
        <f t="shared" si="4"/>
        <v>0</v>
      </c>
      <c r="T16" s="71">
        <f t="shared" si="2"/>
        <v>94.312531048612698</v>
      </c>
      <c r="U16" s="61">
        <f t="shared" si="9"/>
        <v>0</v>
      </c>
      <c r="V16" s="64">
        <f t="shared" si="14"/>
        <v>0</v>
      </c>
      <c r="W16" s="64">
        <f t="shared" si="10"/>
        <v>4.5000000000000005E-2</v>
      </c>
      <c r="X16" s="72">
        <f t="shared" si="11"/>
        <v>1.2256991857217403E-2</v>
      </c>
      <c r="Y16" s="64">
        <f t="shared" si="12"/>
        <v>1.9298085481776022</v>
      </c>
      <c r="Z16" s="64">
        <f t="shared" si="13"/>
        <v>1.9298085481776022</v>
      </c>
      <c r="AB16" s="70">
        <f t="shared" si="6"/>
        <v>4.7</v>
      </c>
    </row>
    <row r="17" spans="1:28" s="40" customFormat="1" ht="20.25" customHeight="1">
      <c r="A17" s="35">
        <f t="shared" si="7"/>
        <v>12</v>
      </c>
      <c r="B17" s="24">
        <v>41425</v>
      </c>
      <c r="C17" s="25">
        <v>0.23055555555555554</v>
      </c>
      <c r="D17" s="26">
        <v>57</v>
      </c>
      <c r="E17" s="27">
        <v>40</v>
      </c>
      <c r="F17" s="36">
        <v>0</v>
      </c>
      <c r="G17" s="29">
        <v>22</v>
      </c>
      <c r="H17" s="37"/>
      <c r="I17" s="31">
        <v>1</v>
      </c>
      <c r="J17" s="31">
        <v>1</v>
      </c>
      <c r="K17" s="32">
        <v>0</v>
      </c>
      <c r="L17" s="27">
        <v>8</v>
      </c>
      <c r="M17" s="38"/>
      <c r="N17" s="39"/>
      <c r="O17" s="61">
        <f t="shared" si="3"/>
        <v>31.999999999534339</v>
      </c>
      <c r="P17" s="64">
        <f t="shared" si="8"/>
        <v>5.2833333334419876</v>
      </c>
      <c r="Q17" s="61">
        <f t="shared" si="0"/>
        <v>0</v>
      </c>
      <c r="R17" s="62">
        <f t="shared" si="1"/>
        <v>4140</v>
      </c>
      <c r="S17" s="63">
        <f t="shared" si="4"/>
        <v>0</v>
      </c>
      <c r="T17" s="71">
        <f t="shared" si="2"/>
        <v>94.312531048612698</v>
      </c>
      <c r="U17" s="61">
        <f t="shared" si="9"/>
        <v>0</v>
      </c>
      <c r="V17" s="64">
        <f t="shared" si="14"/>
        <v>0</v>
      </c>
      <c r="W17" s="64">
        <f t="shared" si="10"/>
        <v>6.7000000000000004E-2</v>
      </c>
      <c r="X17" s="72">
        <f t="shared" si="11"/>
        <v>1.3709603025119262E-2</v>
      </c>
      <c r="Y17" s="64">
        <f t="shared" si="12"/>
        <v>2.4624361578674758</v>
      </c>
      <c r="Z17" s="64">
        <f t="shared" si="13"/>
        <v>2.4624361578674758</v>
      </c>
      <c r="AB17" s="70">
        <f t="shared" si="6"/>
        <v>4</v>
      </c>
    </row>
    <row r="18" spans="1:28" s="40" customFormat="1" ht="20.25" customHeight="1">
      <c r="A18" s="35">
        <f t="shared" si="7"/>
        <v>13</v>
      </c>
      <c r="B18" s="24">
        <v>41425</v>
      </c>
      <c r="C18" s="25">
        <v>0.25208333333333333</v>
      </c>
      <c r="D18" s="26">
        <v>54</v>
      </c>
      <c r="E18" s="27">
        <v>40</v>
      </c>
      <c r="F18" s="36">
        <v>0</v>
      </c>
      <c r="G18" s="29">
        <v>27</v>
      </c>
      <c r="H18" s="37"/>
      <c r="I18" s="31">
        <v>1</v>
      </c>
      <c r="J18" s="31">
        <v>1</v>
      </c>
      <c r="K18" s="32">
        <v>0</v>
      </c>
      <c r="L18" s="27">
        <v>8</v>
      </c>
      <c r="M18" s="38"/>
      <c r="N18" s="39"/>
      <c r="O18" s="61">
        <f t="shared" si="3"/>
        <v>30.99999999627471</v>
      </c>
      <c r="P18" s="64">
        <f t="shared" si="8"/>
        <v>5.8000000000465661</v>
      </c>
      <c r="Q18" s="61">
        <f t="shared" si="0"/>
        <v>0</v>
      </c>
      <c r="R18" s="62">
        <f t="shared" si="1"/>
        <v>4140</v>
      </c>
      <c r="S18" s="63">
        <f t="shared" si="4"/>
        <v>0</v>
      </c>
      <c r="T18" s="71">
        <f>T19</f>
        <v>94.312531048612698</v>
      </c>
      <c r="U18" s="61">
        <f t="shared" si="9"/>
        <v>0</v>
      </c>
      <c r="V18" s="64">
        <f t="shared" si="14"/>
        <v>0</v>
      </c>
      <c r="W18" s="64">
        <f t="shared" si="10"/>
        <v>9.4E-2</v>
      </c>
      <c r="X18" s="72">
        <f t="shared" si="11"/>
        <v>1.3709603025119262E-2</v>
      </c>
      <c r="Y18" s="64">
        <f t="shared" si="12"/>
        <v>3.5313229552508703</v>
      </c>
      <c r="Z18" s="64">
        <f t="shared" si="13"/>
        <v>3.5313229552508703</v>
      </c>
      <c r="AB18" s="70">
        <f t="shared" si="6"/>
        <v>4</v>
      </c>
    </row>
    <row r="19" spans="1:28" s="40" customFormat="1" ht="20.25" customHeight="1">
      <c r="A19" s="35">
        <f t="shared" si="7"/>
        <v>14</v>
      </c>
      <c r="B19" s="24">
        <v>41425</v>
      </c>
      <c r="C19" s="25">
        <v>0.28819444444444448</v>
      </c>
      <c r="D19" s="26">
        <v>53</v>
      </c>
      <c r="E19" s="27">
        <v>37</v>
      </c>
      <c r="F19" s="36">
        <v>810</v>
      </c>
      <c r="G19" s="29">
        <v>50</v>
      </c>
      <c r="H19" s="37"/>
      <c r="I19" s="31">
        <v>1</v>
      </c>
      <c r="J19" s="31">
        <v>1</v>
      </c>
      <c r="K19" s="32">
        <v>0</v>
      </c>
      <c r="L19" s="27">
        <v>8</v>
      </c>
      <c r="M19" s="38" t="s">
        <v>56</v>
      </c>
      <c r="N19" s="39" t="s">
        <v>52</v>
      </c>
      <c r="O19" s="61">
        <f t="shared" si="3"/>
        <v>52.000000001862645</v>
      </c>
      <c r="P19" s="64">
        <f t="shared" si="8"/>
        <v>6.6666666667442769</v>
      </c>
      <c r="Q19" s="61">
        <f t="shared" si="0"/>
        <v>794.02195729537357</v>
      </c>
      <c r="R19" s="62">
        <f t="shared" si="1"/>
        <v>4140</v>
      </c>
      <c r="S19" s="63">
        <f t="shared" si="4"/>
        <v>0</v>
      </c>
      <c r="T19" s="71">
        <v>94.312531048612698</v>
      </c>
      <c r="U19" s="61">
        <f t="shared" si="9"/>
        <v>748.86220500700142</v>
      </c>
      <c r="V19" s="64">
        <f t="shared" si="14"/>
        <v>0.7488622050070014</v>
      </c>
      <c r="W19" s="64">
        <f t="shared" si="10"/>
        <v>0.14400000000000002</v>
      </c>
      <c r="X19" s="72">
        <f t="shared" si="11"/>
        <v>1.4383713190102719E-2</v>
      </c>
      <c r="Y19" s="64">
        <f t="shared" si="12"/>
        <v>4.9903840644872224</v>
      </c>
      <c r="Z19" s="64">
        <f t="shared" si="13"/>
        <v>5.7392462694942239</v>
      </c>
      <c r="AB19" s="70">
        <f t="shared" si="6"/>
        <v>3.7</v>
      </c>
    </row>
    <row r="20" spans="1:28" s="40" customFormat="1" ht="20.25" customHeight="1">
      <c r="A20" s="35">
        <f t="shared" si="7"/>
        <v>15</v>
      </c>
      <c r="B20" s="24">
        <v>41425</v>
      </c>
      <c r="C20" s="25">
        <v>0.32361111111111113</v>
      </c>
      <c r="D20" s="26">
        <v>51</v>
      </c>
      <c r="E20" s="27">
        <v>41</v>
      </c>
      <c r="F20" s="36">
        <v>600</v>
      </c>
      <c r="G20" s="29">
        <v>12</v>
      </c>
      <c r="H20" s="37"/>
      <c r="I20" s="31">
        <v>1</v>
      </c>
      <c r="J20" s="31">
        <v>1</v>
      </c>
      <c r="K20" s="32">
        <v>0</v>
      </c>
      <c r="L20" s="27">
        <v>8</v>
      </c>
      <c r="M20" s="38" t="s">
        <v>57</v>
      </c>
      <c r="N20" s="39"/>
      <c r="O20" s="61">
        <f t="shared" si="3"/>
        <v>50.999999998603016</v>
      </c>
      <c r="P20" s="64">
        <f t="shared" si="8"/>
        <v>7.5166666667209938</v>
      </c>
      <c r="Q20" s="61">
        <f t="shared" si="0"/>
        <v>588.16441281138782</v>
      </c>
      <c r="R20" s="62">
        <f t="shared" si="1"/>
        <v>4140</v>
      </c>
      <c r="S20" s="63">
        <f t="shared" si="4"/>
        <v>0</v>
      </c>
      <c r="T20" s="71">
        <v>97.583206185959995</v>
      </c>
      <c r="U20" s="61">
        <f t="shared" si="9"/>
        <v>573.9496916661775</v>
      </c>
      <c r="V20" s="64">
        <f t="shared" si="14"/>
        <v>1.322811896673179</v>
      </c>
      <c r="W20" s="64">
        <f t="shared" si="10"/>
        <v>0.15600000000000003</v>
      </c>
      <c r="X20" s="72">
        <f t="shared" si="11"/>
        <v>1.349199488413245E-2</v>
      </c>
      <c r="Y20" s="64">
        <f t="shared" si="12"/>
        <v>6.2471325413956302</v>
      </c>
      <c r="Z20" s="64">
        <f t="shared" si="13"/>
        <v>7.5699444380688092</v>
      </c>
      <c r="AB20" s="70">
        <f t="shared" si="6"/>
        <v>4.0999999999999996</v>
      </c>
    </row>
    <row r="21" spans="1:28" s="40" customFormat="1" ht="20.25" customHeight="1">
      <c r="A21" s="35">
        <f t="shared" si="7"/>
        <v>16</v>
      </c>
      <c r="B21" s="24">
        <v>41425</v>
      </c>
      <c r="C21" s="25">
        <v>0.3576388888888889</v>
      </c>
      <c r="D21" s="26">
        <v>51</v>
      </c>
      <c r="E21" s="27">
        <v>42</v>
      </c>
      <c r="F21" s="36">
        <v>1250</v>
      </c>
      <c r="G21" s="29">
        <v>15</v>
      </c>
      <c r="H21" s="37"/>
      <c r="I21" s="31">
        <v>1</v>
      </c>
      <c r="J21" s="31">
        <v>1</v>
      </c>
      <c r="K21" s="32">
        <v>0</v>
      </c>
      <c r="L21" s="27">
        <v>8</v>
      </c>
      <c r="M21" s="38" t="s">
        <v>58</v>
      </c>
      <c r="N21" s="39"/>
      <c r="O21" s="61">
        <f t="shared" ref="O21:O28" si="15">((B21 +C21) - (B20 + C20)) * 24 * 60</f>
        <v>49.000000002561137</v>
      </c>
      <c r="P21" s="64">
        <f t="shared" ref="P21:P28" si="16">P20+O21/60</f>
        <v>8.3333333334303461</v>
      </c>
      <c r="Q21" s="61">
        <f t="shared" ref="Q21:Q28" si="17">F21*$F$2/1000*273/(273+L21)</f>
        <v>1225.3425266903914</v>
      </c>
      <c r="R21" s="62">
        <f t="shared" ref="R21:R28" si="18">$N$2-K21</f>
        <v>4140</v>
      </c>
      <c r="S21" s="63">
        <f t="shared" ref="S21:S28" si="19">IF(I21=J21,0,R21*(J21-I21))*273/(273+L21)</f>
        <v>0</v>
      </c>
      <c r="T21" s="71">
        <v>97.918456762102409</v>
      </c>
      <c r="U21" s="61">
        <f t="shared" ref="U21:U28" si="20">(S21+Q21)*T21/100</f>
        <v>1199.8364921849841</v>
      </c>
      <c r="V21" s="64">
        <f t="shared" ref="V21:V28" si="21">V20+U21/1000</f>
        <v>2.5226483888581628</v>
      </c>
      <c r="W21" s="64">
        <f t="shared" ref="W21:W28" si="22">W20+(G21+K21)/1000</f>
        <v>0.17100000000000004</v>
      </c>
      <c r="X21" s="72">
        <f t="shared" si="11"/>
        <v>1.3277840767520884E-2</v>
      </c>
      <c r="Y21" s="64">
        <f t="shared" si="12"/>
        <v>7.0037237453089123</v>
      </c>
      <c r="Z21" s="64">
        <f t="shared" ref="Z21:Z28" si="23">V21+Y21</f>
        <v>9.526372134167076</v>
      </c>
      <c r="AB21" s="70">
        <f t="shared" si="6"/>
        <v>4.2</v>
      </c>
    </row>
    <row r="22" spans="1:28" ht="20.25" customHeight="1">
      <c r="A22" s="35">
        <f t="shared" si="7"/>
        <v>17</v>
      </c>
      <c r="B22" s="24">
        <v>41425</v>
      </c>
      <c r="C22" s="25">
        <v>0.37638888888888888</v>
      </c>
      <c r="D22" s="26">
        <v>49</v>
      </c>
      <c r="E22" s="27">
        <v>40</v>
      </c>
      <c r="F22" s="36">
        <v>1300</v>
      </c>
      <c r="G22" s="29">
        <v>3</v>
      </c>
      <c r="H22" s="37"/>
      <c r="I22" s="31">
        <v>1</v>
      </c>
      <c r="J22" s="31">
        <v>1</v>
      </c>
      <c r="K22" s="32">
        <v>0</v>
      </c>
      <c r="L22" s="27">
        <v>8</v>
      </c>
      <c r="M22" s="38" t="s">
        <v>59</v>
      </c>
      <c r="N22" s="39"/>
      <c r="O22" s="61">
        <f t="shared" si="15"/>
        <v>26.999999993713573</v>
      </c>
      <c r="P22" s="64">
        <f t="shared" si="16"/>
        <v>8.7833333333255723</v>
      </c>
      <c r="Q22" s="61">
        <f t="shared" si="17"/>
        <v>1274.3562277580072</v>
      </c>
      <c r="R22" s="62">
        <f t="shared" si="18"/>
        <v>4140</v>
      </c>
      <c r="S22" s="63">
        <f t="shared" si="19"/>
        <v>0</v>
      </c>
      <c r="T22" s="71">
        <v>98.105477164073022</v>
      </c>
      <c r="U22" s="61">
        <f t="shared" si="20"/>
        <v>1250.2132580120742</v>
      </c>
      <c r="V22" s="64">
        <f t="shared" si="21"/>
        <v>3.7728616468702372</v>
      </c>
      <c r="W22" s="64">
        <f t="shared" si="22"/>
        <v>0.17400000000000004</v>
      </c>
      <c r="X22" s="72">
        <f t="shared" si="11"/>
        <v>1.3709603025119262E-2</v>
      </c>
      <c r="Y22" s="64">
        <f t="shared" si="12"/>
        <v>6.7827169259808109</v>
      </c>
      <c r="Z22" s="64">
        <f t="shared" si="23"/>
        <v>10.555578572851047</v>
      </c>
      <c r="AB22" s="70">
        <f t="shared" si="6"/>
        <v>4</v>
      </c>
    </row>
    <row r="23" spans="1:28" ht="20.25" customHeight="1">
      <c r="A23" s="35">
        <f t="shared" si="7"/>
        <v>18</v>
      </c>
      <c r="B23" s="24">
        <v>41425</v>
      </c>
      <c r="C23" s="25">
        <v>0.39513888888888887</v>
      </c>
      <c r="D23" s="26">
        <v>48</v>
      </c>
      <c r="E23" s="27">
        <v>36</v>
      </c>
      <c r="F23" s="36">
        <v>1650</v>
      </c>
      <c r="G23" s="29">
        <v>4</v>
      </c>
      <c r="H23" s="37"/>
      <c r="I23" s="31">
        <v>1</v>
      </c>
      <c r="J23" s="31">
        <v>1</v>
      </c>
      <c r="K23" s="32">
        <v>0</v>
      </c>
      <c r="L23" s="27">
        <v>8</v>
      </c>
      <c r="M23" s="38" t="s">
        <v>60</v>
      </c>
      <c r="N23" s="39"/>
      <c r="O23" s="61">
        <f t="shared" si="15"/>
        <v>27.000000004190952</v>
      </c>
      <c r="P23" s="64">
        <f t="shared" si="16"/>
        <v>9.2333333333954215</v>
      </c>
      <c r="Q23" s="61">
        <f t="shared" si="17"/>
        <v>1617.4521352313168</v>
      </c>
      <c r="R23" s="62">
        <f t="shared" si="18"/>
        <v>4140</v>
      </c>
      <c r="S23" s="63">
        <f t="shared" si="19"/>
        <v>0</v>
      </c>
      <c r="T23" s="71">
        <v>98.212385215873425</v>
      </c>
      <c r="U23" s="61">
        <f t="shared" si="20"/>
        <v>1588.538321735751</v>
      </c>
      <c r="V23" s="64">
        <f t="shared" si="21"/>
        <v>5.3613999686059879</v>
      </c>
      <c r="W23" s="64">
        <f t="shared" si="22"/>
        <v>0.17800000000000005</v>
      </c>
      <c r="X23" s="72">
        <f t="shared" si="11"/>
        <v>1.4615703575117383E-2</v>
      </c>
      <c r="Y23" s="64">
        <f t="shared" si="12"/>
        <v>6.2521287175493274</v>
      </c>
      <c r="Z23" s="64">
        <f t="shared" si="23"/>
        <v>11.613528686155316</v>
      </c>
      <c r="AB23" s="70">
        <f t="shared" si="6"/>
        <v>3.6</v>
      </c>
    </row>
    <row r="24" spans="1:28" ht="20.25" customHeight="1">
      <c r="A24" s="35">
        <f t="shared" si="7"/>
        <v>19</v>
      </c>
      <c r="B24" s="24">
        <v>41425</v>
      </c>
      <c r="C24" s="25">
        <v>0.43124999999999997</v>
      </c>
      <c r="D24" s="26">
        <v>48</v>
      </c>
      <c r="E24" s="27">
        <v>37</v>
      </c>
      <c r="F24" s="36">
        <v>1720</v>
      </c>
      <c r="G24" s="29">
        <v>20</v>
      </c>
      <c r="H24" s="37"/>
      <c r="I24" s="31">
        <v>1</v>
      </c>
      <c r="J24" s="31">
        <v>1</v>
      </c>
      <c r="K24" s="32">
        <v>0</v>
      </c>
      <c r="L24" s="27">
        <v>8</v>
      </c>
      <c r="M24" s="38" t="s">
        <v>61</v>
      </c>
      <c r="N24" s="39"/>
      <c r="O24" s="61">
        <f t="shared" si="15"/>
        <v>52.000000001862645</v>
      </c>
      <c r="P24" s="64">
        <f t="shared" si="16"/>
        <v>10.100000000093132</v>
      </c>
      <c r="Q24" s="61">
        <f t="shared" si="17"/>
        <v>1686.0713167259785</v>
      </c>
      <c r="R24" s="62">
        <f t="shared" si="18"/>
        <v>4140</v>
      </c>
      <c r="S24" s="63">
        <f t="shared" si="19"/>
        <v>0</v>
      </c>
      <c r="T24" s="71">
        <v>98.319572636370793</v>
      </c>
      <c r="U24" s="61">
        <f t="shared" si="20"/>
        <v>1657.7381129494117</v>
      </c>
      <c r="V24" s="64">
        <f t="shared" si="21"/>
        <v>7.0191380815553996</v>
      </c>
      <c r="W24" s="64">
        <f t="shared" si="22"/>
        <v>0.19800000000000004</v>
      </c>
      <c r="X24" s="72">
        <f t="shared" si="11"/>
        <v>1.4383713190102719E-2</v>
      </c>
      <c r="Y24" s="64">
        <f t="shared" si="12"/>
        <v>7.1953785554130789</v>
      </c>
      <c r="Z24" s="64">
        <f t="shared" si="23"/>
        <v>14.214516636968479</v>
      </c>
      <c r="AB24" s="70">
        <f t="shared" si="6"/>
        <v>3.7</v>
      </c>
    </row>
    <row r="25" spans="1:28" ht="20.25" customHeight="1">
      <c r="A25" s="35">
        <f t="shared" si="7"/>
        <v>20</v>
      </c>
      <c r="B25" s="24">
        <v>41425</v>
      </c>
      <c r="C25" s="25">
        <v>0.46180555555555558</v>
      </c>
      <c r="D25" s="26">
        <v>47</v>
      </c>
      <c r="E25" s="27">
        <v>38</v>
      </c>
      <c r="F25" s="36">
        <v>1470</v>
      </c>
      <c r="G25" s="29">
        <v>12</v>
      </c>
      <c r="H25" s="37"/>
      <c r="I25" s="31">
        <v>1</v>
      </c>
      <c r="J25" s="31">
        <v>1</v>
      </c>
      <c r="K25" s="32">
        <v>0</v>
      </c>
      <c r="L25" s="27">
        <v>8</v>
      </c>
      <c r="M25" s="38" t="s">
        <v>62</v>
      </c>
      <c r="N25" s="39"/>
      <c r="O25" s="61">
        <f t="shared" si="15"/>
        <v>43.999999996740371</v>
      </c>
      <c r="P25" s="64">
        <f t="shared" si="16"/>
        <v>10.833333333372138</v>
      </c>
      <c r="Q25" s="61">
        <f t="shared" si="17"/>
        <v>1441.0028113879002</v>
      </c>
      <c r="R25" s="62">
        <f t="shared" si="18"/>
        <v>4140</v>
      </c>
      <c r="S25" s="63">
        <f t="shared" si="19"/>
        <v>0</v>
      </c>
      <c r="T25" s="71">
        <v>98.394962277715692</v>
      </c>
      <c r="U25" s="61">
        <f t="shared" si="20"/>
        <v>1417.8741726859471</v>
      </c>
      <c r="V25" s="64">
        <f t="shared" si="21"/>
        <v>8.4370122542413473</v>
      </c>
      <c r="W25" s="64">
        <f t="shared" si="22"/>
        <v>0.21000000000000005</v>
      </c>
      <c r="X25" s="72">
        <f t="shared" si="11"/>
        <v>1.4155405114219644E-2</v>
      </c>
      <c r="Y25" s="64">
        <f t="shared" si="12"/>
        <v>7.837634248998544</v>
      </c>
      <c r="Z25" s="64">
        <f t="shared" si="23"/>
        <v>16.274646503239893</v>
      </c>
      <c r="AB25" s="70">
        <f t="shared" si="6"/>
        <v>3.8</v>
      </c>
    </row>
    <row r="26" spans="1:28" ht="20.25" customHeight="1">
      <c r="A26" s="35">
        <f t="shared" si="7"/>
        <v>21</v>
      </c>
      <c r="B26" s="24">
        <v>41425</v>
      </c>
      <c r="C26" s="25">
        <v>0.48194444444444445</v>
      </c>
      <c r="D26" s="26">
        <v>45</v>
      </c>
      <c r="E26" s="27">
        <v>36</v>
      </c>
      <c r="F26" s="36">
        <v>1640</v>
      </c>
      <c r="G26" s="29">
        <v>7</v>
      </c>
      <c r="H26" s="37"/>
      <c r="I26" s="31">
        <v>1</v>
      </c>
      <c r="J26" s="31">
        <v>1</v>
      </c>
      <c r="K26" s="32">
        <v>0</v>
      </c>
      <c r="L26" s="27">
        <v>8</v>
      </c>
      <c r="M26" s="38" t="s">
        <v>63</v>
      </c>
      <c r="N26" s="39"/>
      <c r="O26" s="61">
        <f t="shared" si="15"/>
        <v>29.000000000232831</v>
      </c>
      <c r="P26" s="64">
        <f t="shared" si="16"/>
        <v>11.316666666709352</v>
      </c>
      <c r="Q26" s="61">
        <f t="shared" si="17"/>
        <v>1607.6493950177935</v>
      </c>
      <c r="R26" s="62">
        <f t="shared" si="18"/>
        <v>4140</v>
      </c>
      <c r="S26" s="63">
        <f t="shared" si="19"/>
        <v>0</v>
      </c>
      <c r="T26" s="71">
        <v>98.405699985767825</v>
      </c>
      <c r="U26" s="61">
        <f t="shared" si="20"/>
        <v>1582.0186404842214</v>
      </c>
      <c r="V26" s="64">
        <f t="shared" si="21"/>
        <v>10.019030894725569</v>
      </c>
      <c r="W26" s="64">
        <f t="shared" si="22"/>
        <v>0.21700000000000005</v>
      </c>
      <c r="X26" s="72">
        <f t="shared" si="11"/>
        <v>1.4615703575117383E-2</v>
      </c>
      <c r="Y26" s="64">
        <f t="shared" si="12"/>
        <v>7.6597719529543511</v>
      </c>
      <c r="Z26" s="64">
        <f t="shared" si="23"/>
        <v>17.678802847679918</v>
      </c>
      <c r="AB26" s="70">
        <f t="shared" si="6"/>
        <v>3.6</v>
      </c>
    </row>
    <row r="27" spans="1:28" ht="20.25" customHeight="1">
      <c r="A27" s="35">
        <f t="shared" si="7"/>
        <v>22</v>
      </c>
      <c r="B27" s="24">
        <v>41425</v>
      </c>
      <c r="C27" s="25">
        <v>0.50069444444444444</v>
      </c>
      <c r="D27" s="26">
        <v>43</v>
      </c>
      <c r="E27" s="27">
        <v>33</v>
      </c>
      <c r="F27" s="36">
        <v>1750</v>
      </c>
      <c r="G27" s="29">
        <v>29</v>
      </c>
      <c r="H27" s="37"/>
      <c r="I27" s="31">
        <v>1</v>
      </c>
      <c r="J27" s="31">
        <v>1</v>
      </c>
      <c r="K27" s="32">
        <v>0</v>
      </c>
      <c r="L27" s="27">
        <v>8</v>
      </c>
      <c r="M27" s="38" t="s">
        <v>64</v>
      </c>
      <c r="N27" s="39"/>
      <c r="O27" s="61">
        <f t="shared" si="15"/>
        <v>27.000000004190952</v>
      </c>
      <c r="P27" s="64">
        <f t="shared" si="16"/>
        <v>11.766666666779201</v>
      </c>
      <c r="Q27" s="61">
        <f t="shared" si="17"/>
        <v>1715.4795373665481</v>
      </c>
      <c r="R27" s="62">
        <f t="shared" si="18"/>
        <v>4140</v>
      </c>
      <c r="S27" s="63">
        <f t="shared" si="19"/>
        <v>0</v>
      </c>
      <c r="T27" s="71">
        <v>98.42404377831366</v>
      </c>
      <c r="U27" s="61">
        <f t="shared" si="20"/>
        <v>1688.4443308656639</v>
      </c>
      <c r="V27" s="64">
        <f t="shared" si="21"/>
        <v>11.707475225591233</v>
      </c>
      <c r="W27" s="64">
        <f t="shared" si="22"/>
        <v>0.24600000000000005</v>
      </c>
      <c r="X27" s="72">
        <f t="shared" si="11"/>
        <v>1.5334367297934109E-2</v>
      </c>
      <c r="Y27" s="64">
        <f t="shared" si="12"/>
        <v>7.9744539022785776</v>
      </c>
      <c r="Z27" s="64">
        <f t="shared" si="23"/>
        <v>19.681929127869811</v>
      </c>
      <c r="AB27" s="70">
        <f t="shared" si="6"/>
        <v>3.3</v>
      </c>
    </row>
    <row r="28" spans="1:28" ht="20.25" customHeight="1">
      <c r="A28" s="35">
        <f t="shared" si="7"/>
        <v>23</v>
      </c>
      <c r="B28" s="24">
        <v>41425</v>
      </c>
      <c r="C28" s="25">
        <v>0.52569444444444446</v>
      </c>
      <c r="D28" s="26">
        <v>41</v>
      </c>
      <c r="E28" s="27">
        <v>33</v>
      </c>
      <c r="F28" s="36">
        <v>1900</v>
      </c>
      <c r="G28" s="29">
        <v>3</v>
      </c>
      <c r="H28" s="37"/>
      <c r="I28" s="31">
        <v>1</v>
      </c>
      <c r="J28" s="31">
        <v>1</v>
      </c>
      <c r="K28" s="32">
        <v>0</v>
      </c>
      <c r="L28" s="27">
        <v>8</v>
      </c>
      <c r="M28" s="38" t="s">
        <v>65</v>
      </c>
      <c r="N28" s="39"/>
      <c r="O28" s="61">
        <f t="shared" si="15"/>
        <v>35.999999991618097</v>
      </c>
      <c r="P28" s="64">
        <f t="shared" si="16"/>
        <v>12.366666666639503</v>
      </c>
      <c r="Q28" s="61">
        <f t="shared" si="17"/>
        <v>1862.520640569395</v>
      </c>
      <c r="R28" s="62">
        <f t="shared" si="18"/>
        <v>4140</v>
      </c>
      <c r="S28" s="63">
        <f t="shared" si="19"/>
        <v>0</v>
      </c>
      <c r="T28" s="71">
        <v>98.356185229711016</v>
      </c>
      <c r="U28" s="61">
        <f t="shared" si="20"/>
        <v>1831.9042511800342</v>
      </c>
      <c r="V28" s="64">
        <f t="shared" si="21"/>
        <v>13.539379476771268</v>
      </c>
      <c r="W28" s="64">
        <f t="shared" si="22"/>
        <v>0.24900000000000005</v>
      </c>
      <c r="X28" s="72">
        <f t="shared" si="11"/>
        <v>1.5334367297934109E-2</v>
      </c>
      <c r="Y28" s="64">
        <f t="shared" si="12"/>
        <v>8.0897717336029284</v>
      </c>
      <c r="Z28" s="64">
        <f t="shared" si="23"/>
        <v>21.629151210374197</v>
      </c>
      <c r="AB28" s="70">
        <f t="shared" si="6"/>
        <v>3.3</v>
      </c>
    </row>
    <row r="29" spans="1:28" ht="20.25" customHeight="1">
      <c r="A29" s="35">
        <f t="shared" si="7"/>
        <v>24</v>
      </c>
      <c r="B29" s="24">
        <v>41425</v>
      </c>
      <c r="C29" s="25">
        <v>0.55208333333333337</v>
      </c>
      <c r="D29" s="26">
        <v>38</v>
      </c>
      <c r="E29" s="27">
        <v>29</v>
      </c>
      <c r="F29" s="36">
        <v>1790</v>
      </c>
      <c r="G29" s="29">
        <v>24</v>
      </c>
      <c r="H29" s="37"/>
      <c r="I29" s="31">
        <v>1</v>
      </c>
      <c r="J29" s="31">
        <v>1</v>
      </c>
      <c r="K29" s="32">
        <v>0</v>
      </c>
      <c r="L29" s="27">
        <v>8</v>
      </c>
      <c r="M29" s="38" t="s">
        <v>66</v>
      </c>
      <c r="N29" s="39"/>
      <c r="O29" s="61">
        <f t="shared" ref="O29:O34" si="24">((B29 +C29) - (B28 + C28)) * 24 * 60</f>
        <v>38.000000008614734</v>
      </c>
      <c r="P29" s="64">
        <f t="shared" ref="P29:P34" si="25">P28+O29/60</f>
        <v>13.000000000116415</v>
      </c>
      <c r="Q29" s="61">
        <f t="shared" ref="Q29:Q34" si="26">F29*$F$2/1000*273/(273+L29)</f>
        <v>1754.6904982206404</v>
      </c>
      <c r="R29" s="62">
        <f t="shared" ref="R29:R34" si="27">$N$2-K29</f>
        <v>4140</v>
      </c>
      <c r="S29" s="63">
        <f t="shared" ref="S29:S34" si="28">IF(I29=J29,0,R29*(J29-I29))*273/(273+L29)</f>
        <v>0</v>
      </c>
      <c r="T29" s="71">
        <v>98.374297985466768</v>
      </c>
      <c r="U29" s="61">
        <f t="shared" ref="U29:U34" si="29">(S29+Q29)*T29/100</f>
        <v>1726.1644594422442</v>
      </c>
      <c r="V29" s="64">
        <f t="shared" ref="V29:V34" si="30">V28+U29/1000</f>
        <v>15.265543936213511</v>
      </c>
      <c r="W29" s="64">
        <f t="shared" ref="W29:W34" si="31">W28+(G29+K29)/1000</f>
        <v>0.27300000000000008</v>
      </c>
      <c r="X29" s="72">
        <f t="shared" si="11"/>
        <v>1.6347852416144559E-2</v>
      </c>
      <c r="Y29" s="64">
        <f t="shared" si="12"/>
        <v>7.7984196217811368</v>
      </c>
      <c r="Z29" s="64">
        <f t="shared" ref="Z29:Z34" si="32">V29+Y29</f>
        <v>23.063963557994647</v>
      </c>
      <c r="AB29" s="70">
        <f t="shared" ref="AB29:AB34" si="33">E29/10</f>
        <v>2.9</v>
      </c>
    </row>
    <row r="30" spans="1:28" ht="20.25" customHeight="1">
      <c r="A30" s="35">
        <f t="shared" si="7"/>
        <v>25</v>
      </c>
      <c r="B30" s="24">
        <v>41425</v>
      </c>
      <c r="C30" s="25">
        <v>0.57777777777777783</v>
      </c>
      <c r="D30" s="26">
        <v>31</v>
      </c>
      <c r="E30" s="27">
        <v>22</v>
      </c>
      <c r="F30" s="36">
        <v>1910</v>
      </c>
      <c r="G30" s="29">
        <v>35</v>
      </c>
      <c r="H30" s="37"/>
      <c r="I30" s="31">
        <v>1</v>
      </c>
      <c r="J30" s="31">
        <v>1</v>
      </c>
      <c r="K30" s="32">
        <v>0</v>
      </c>
      <c r="L30" s="27">
        <v>8</v>
      </c>
      <c r="M30" s="38" t="s">
        <v>67</v>
      </c>
      <c r="N30" s="39"/>
      <c r="O30" s="61">
        <f t="shared" si="24"/>
        <v>36.999999994877726</v>
      </c>
      <c r="P30" s="64">
        <f t="shared" si="25"/>
        <v>13.616666666697711</v>
      </c>
      <c r="Q30" s="61">
        <f t="shared" si="26"/>
        <v>1872.3233807829181</v>
      </c>
      <c r="R30" s="62">
        <f t="shared" si="27"/>
        <v>4140</v>
      </c>
      <c r="S30" s="63">
        <f t="shared" si="28"/>
        <v>0</v>
      </c>
      <c r="T30" s="71">
        <v>98.284223646154572</v>
      </c>
      <c r="U30" s="61">
        <f t="shared" si="29"/>
        <v>1840.1984989479254</v>
      </c>
      <c r="V30" s="64">
        <f t="shared" si="30"/>
        <v>17.105742435161435</v>
      </c>
      <c r="W30" s="64">
        <f t="shared" si="31"/>
        <v>0.30800000000000005</v>
      </c>
      <c r="X30" s="72">
        <f t="shared" si="11"/>
        <v>1.8285283171384864E-2</v>
      </c>
      <c r="Y30" s="64">
        <f t="shared" si="12"/>
        <v>6.7216855897405567</v>
      </c>
      <c r="Z30" s="64">
        <f t="shared" si="32"/>
        <v>23.827428024901991</v>
      </c>
      <c r="AB30" s="70">
        <f t="shared" si="33"/>
        <v>2.2000000000000002</v>
      </c>
    </row>
    <row r="31" spans="1:28" ht="20.25" customHeight="1">
      <c r="A31" s="35">
        <f t="shared" si="7"/>
        <v>26</v>
      </c>
      <c r="B31" s="24">
        <v>41425</v>
      </c>
      <c r="C31" s="25">
        <v>0.6020833333333333</v>
      </c>
      <c r="D31" s="26">
        <v>23</v>
      </c>
      <c r="E31" s="27">
        <v>16</v>
      </c>
      <c r="F31" s="36">
        <v>1920</v>
      </c>
      <c r="G31" s="29">
        <v>22</v>
      </c>
      <c r="H31" s="37"/>
      <c r="I31" s="31">
        <v>1</v>
      </c>
      <c r="J31" s="31">
        <v>1</v>
      </c>
      <c r="K31" s="32">
        <v>0</v>
      </c>
      <c r="L31" s="27">
        <v>8</v>
      </c>
      <c r="M31" s="38" t="s">
        <v>68</v>
      </c>
      <c r="N31" s="39" t="s">
        <v>53</v>
      </c>
      <c r="O31" s="61">
        <f t="shared" si="24"/>
        <v>34.999999998835847</v>
      </c>
      <c r="P31" s="64">
        <f t="shared" si="25"/>
        <v>14.200000000011642</v>
      </c>
      <c r="Q31" s="61">
        <f t="shared" si="26"/>
        <v>1882.1261209964412</v>
      </c>
      <c r="R31" s="62">
        <f t="shared" si="27"/>
        <v>4140</v>
      </c>
      <c r="S31" s="63">
        <f t="shared" si="28"/>
        <v>0</v>
      </c>
      <c r="T31" s="71">
        <v>98.375883873565044</v>
      </c>
      <c r="U31" s="61">
        <f t="shared" si="29"/>
        <v>1851.5582071454933</v>
      </c>
      <c r="V31" s="64">
        <f t="shared" si="30"/>
        <v>18.957300642306929</v>
      </c>
      <c r="W31" s="64">
        <f t="shared" si="31"/>
        <v>0.33000000000000007</v>
      </c>
      <c r="X31" s="72">
        <f t="shared" si="11"/>
        <v>2.0127691188598456E-2</v>
      </c>
      <c r="Y31" s="64">
        <f t="shared" si="12"/>
        <v>5.3318307139071885</v>
      </c>
      <c r="Z31" s="64">
        <f t="shared" si="32"/>
        <v>24.289131356214117</v>
      </c>
      <c r="AB31" s="70">
        <f t="shared" si="33"/>
        <v>1.6</v>
      </c>
    </row>
    <row r="32" spans="1:28" ht="20.25" customHeight="1">
      <c r="A32" s="35">
        <f t="shared" si="7"/>
        <v>27</v>
      </c>
      <c r="B32" s="24">
        <v>41425</v>
      </c>
      <c r="C32" s="25">
        <v>0.62708333333333333</v>
      </c>
      <c r="D32" s="26">
        <v>17</v>
      </c>
      <c r="E32" s="27">
        <v>10</v>
      </c>
      <c r="F32" s="36">
        <v>1950</v>
      </c>
      <c r="G32" s="29">
        <v>11</v>
      </c>
      <c r="H32" s="37"/>
      <c r="I32" s="31">
        <v>1</v>
      </c>
      <c r="J32" s="31">
        <v>1</v>
      </c>
      <c r="K32" s="32">
        <v>0</v>
      </c>
      <c r="L32" s="27">
        <v>8</v>
      </c>
      <c r="M32" s="38" t="s">
        <v>69</v>
      </c>
      <c r="N32" s="39"/>
      <c r="O32" s="61">
        <f t="shared" si="24"/>
        <v>36.000000002095476</v>
      </c>
      <c r="P32" s="64">
        <f t="shared" si="25"/>
        <v>14.800000000046566</v>
      </c>
      <c r="Q32" s="61">
        <f t="shared" si="26"/>
        <v>1911.5343416370108</v>
      </c>
      <c r="R32" s="62">
        <f t="shared" si="27"/>
        <v>4140</v>
      </c>
      <c r="S32" s="63">
        <f t="shared" si="28"/>
        <v>0</v>
      </c>
      <c r="T32" s="71">
        <v>98.347570657977172</v>
      </c>
      <c r="U32" s="61">
        <f t="shared" si="29"/>
        <v>1879.9475872929581</v>
      </c>
      <c r="V32" s="64">
        <f t="shared" si="30"/>
        <v>20.837248229599886</v>
      </c>
      <c r="W32" s="64">
        <f t="shared" si="31"/>
        <v>0.34100000000000008</v>
      </c>
      <c r="X32" s="72">
        <f t="shared" si="11"/>
        <v>2.2155738513121494E-2</v>
      </c>
      <c r="Y32" s="64">
        <f t="shared" si="12"/>
        <v>3.562676704792612</v>
      </c>
      <c r="Z32" s="64">
        <f t="shared" si="32"/>
        <v>24.399924934392498</v>
      </c>
      <c r="AB32" s="70">
        <f t="shared" si="33"/>
        <v>1</v>
      </c>
    </row>
    <row r="33" spans="1:28" ht="18.75" customHeight="1">
      <c r="A33" s="35">
        <f t="shared" si="7"/>
        <v>28</v>
      </c>
      <c r="B33" s="24">
        <v>41425</v>
      </c>
      <c r="C33" s="25">
        <v>0.65694444444444444</v>
      </c>
      <c r="D33" s="26">
        <v>10</v>
      </c>
      <c r="E33" s="27">
        <v>5</v>
      </c>
      <c r="F33" s="36">
        <v>1920</v>
      </c>
      <c r="G33" s="29">
        <v>20</v>
      </c>
      <c r="H33" s="37"/>
      <c r="I33" s="31">
        <v>1</v>
      </c>
      <c r="J33" s="31">
        <v>1</v>
      </c>
      <c r="K33" s="32">
        <v>0</v>
      </c>
      <c r="L33" s="27">
        <v>8</v>
      </c>
      <c r="M33" s="38" t="s">
        <v>70</v>
      </c>
      <c r="N33" s="39"/>
      <c r="O33" s="61">
        <f t="shared" si="24"/>
        <v>43.000000003958121</v>
      </c>
      <c r="P33" s="64">
        <f t="shared" si="25"/>
        <v>15.516666666779201</v>
      </c>
      <c r="Q33" s="61">
        <f t="shared" si="26"/>
        <v>1882.1261209964412</v>
      </c>
      <c r="R33" s="62">
        <f t="shared" si="27"/>
        <v>4140</v>
      </c>
      <c r="S33" s="63">
        <f t="shared" si="28"/>
        <v>0</v>
      </c>
      <c r="T33" s="71">
        <v>98.417906795437148</v>
      </c>
      <c r="U33" s="61">
        <f t="shared" si="29"/>
        <v>1852.349131534854</v>
      </c>
      <c r="V33" s="64">
        <f t="shared" si="30"/>
        <v>22.689597361134741</v>
      </c>
      <c r="W33" s="64">
        <f t="shared" si="31"/>
        <v>0.3610000000000001</v>
      </c>
      <c r="X33" s="72">
        <f t="shared" si="11"/>
        <v>2.4001025006052529E-2</v>
      </c>
      <c r="Y33" s="64">
        <f t="shared" si="12"/>
        <v>2.060455654272388</v>
      </c>
      <c r="Z33" s="64">
        <f t="shared" si="32"/>
        <v>24.750053015407129</v>
      </c>
      <c r="AB33" s="70">
        <f t="shared" si="33"/>
        <v>0.5</v>
      </c>
    </row>
    <row r="34" spans="1:28" ht="18.75" customHeight="1">
      <c r="A34" s="35">
        <f t="shared" si="7"/>
        <v>29</v>
      </c>
      <c r="B34" s="24">
        <v>41425</v>
      </c>
      <c r="C34" s="25">
        <v>0.67708333333333337</v>
      </c>
      <c r="D34" s="26">
        <v>5</v>
      </c>
      <c r="E34" s="27">
        <v>0</v>
      </c>
      <c r="F34" s="36">
        <v>1590</v>
      </c>
      <c r="G34" s="29">
        <v>87</v>
      </c>
      <c r="H34" s="37"/>
      <c r="I34" s="31">
        <v>1</v>
      </c>
      <c r="J34" s="31">
        <v>1</v>
      </c>
      <c r="K34" s="32">
        <v>0</v>
      </c>
      <c r="L34" s="27">
        <v>8</v>
      </c>
      <c r="M34" s="38" t="s">
        <v>71</v>
      </c>
      <c r="N34" s="39" t="s">
        <v>54</v>
      </c>
      <c r="O34" s="61">
        <f t="shared" si="24"/>
        <v>29.000000000232831</v>
      </c>
      <c r="P34" s="64">
        <f t="shared" si="25"/>
        <v>16.000000000116415</v>
      </c>
      <c r="Q34" s="61">
        <f t="shared" si="26"/>
        <v>1558.6356939501779</v>
      </c>
      <c r="R34" s="62">
        <f t="shared" si="27"/>
        <v>4140</v>
      </c>
      <c r="S34" s="63">
        <f t="shared" si="28"/>
        <v>0</v>
      </c>
      <c r="T34" s="71">
        <v>98.324040492627134</v>
      </c>
      <c r="U34" s="61">
        <f t="shared" si="29"/>
        <v>1532.5135908521129</v>
      </c>
      <c r="V34" s="64">
        <f t="shared" si="30"/>
        <v>24.222110951986853</v>
      </c>
      <c r="W34" s="64">
        <f t="shared" si="31"/>
        <v>0.44800000000000006</v>
      </c>
      <c r="X34" s="72">
        <f t="shared" si="11"/>
        <v>2.5999999999999999E-2</v>
      </c>
      <c r="Y34" s="64">
        <f t="shared" si="12"/>
        <v>0.4260414959426474</v>
      </c>
      <c r="Z34" s="64">
        <f t="shared" si="32"/>
        <v>24.648152447929501</v>
      </c>
      <c r="AB34" s="70">
        <f t="shared" si="33"/>
        <v>0</v>
      </c>
    </row>
    <row r="35" spans="1:28" ht="18.75" customHeight="1">
      <c r="A35" s="35">
        <f t="shared" si="7"/>
        <v>30</v>
      </c>
      <c r="B35" s="24">
        <v>41425</v>
      </c>
      <c r="C35" s="25">
        <v>0.69861111111111107</v>
      </c>
      <c r="D35" s="26">
        <v>0</v>
      </c>
      <c r="E35" s="27">
        <v>0</v>
      </c>
      <c r="F35" s="36">
        <v>180</v>
      </c>
      <c r="G35" s="29">
        <v>20</v>
      </c>
      <c r="H35" s="37"/>
      <c r="I35" s="31">
        <v>1</v>
      </c>
      <c r="J35" s="31">
        <v>1</v>
      </c>
      <c r="K35" s="32">
        <v>0</v>
      </c>
      <c r="L35" s="27">
        <v>8</v>
      </c>
      <c r="M35" s="38" t="s">
        <v>72</v>
      </c>
      <c r="N35" s="39"/>
      <c r="O35" s="61">
        <f t="shared" ref="O35" si="34">((B35 +C35) - (B34 + C34)) * 24 * 60</f>
        <v>30.99999999627471</v>
      </c>
      <c r="P35" s="64">
        <f t="shared" ref="P35" si="35">P34+O35/60</f>
        <v>16.516666666720994</v>
      </c>
      <c r="Q35" s="61">
        <f t="shared" ref="Q35" si="36">F35*$F$2/1000*273/(273+L35)</f>
        <v>176.44932384341638</v>
      </c>
      <c r="R35" s="62">
        <f t="shared" ref="R35" si="37">$N$2-K35</f>
        <v>4140</v>
      </c>
      <c r="S35" s="63">
        <f t="shared" ref="S35" si="38">IF(I35=J35,0,R35*(J35-I35))*273/(273+L35)</f>
        <v>0</v>
      </c>
      <c r="T35" s="71">
        <v>97.603357358374836</v>
      </c>
      <c r="U35" s="61">
        <f t="shared" ref="U35" si="39">(S35+Q35)*T35/100</f>
        <v>172.2204641073258</v>
      </c>
      <c r="V35" s="64">
        <f t="shared" ref="V35" si="40">V34+U35/1000</f>
        <v>24.394331416094179</v>
      </c>
      <c r="W35" s="64">
        <f t="shared" ref="W35" si="41">W34+(G35+K35)/1000</f>
        <v>0.46800000000000008</v>
      </c>
      <c r="X35" s="72">
        <f t="shared" si="11"/>
        <v>2.5999999999999999E-2</v>
      </c>
      <c r="Y35" s="64">
        <f t="shared" si="12"/>
        <v>0.44377919393364429</v>
      </c>
      <c r="Z35" s="64">
        <f t="shared" ref="Z35" si="42">V35+Y35</f>
        <v>24.838110610027822</v>
      </c>
      <c r="AB35" s="70">
        <f t="shared" ref="AB35" si="43">E35/10</f>
        <v>0</v>
      </c>
    </row>
    <row r="36" spans="1:28" ht="18.75" customHeight="1"/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33"/>
  <sheetViews>
    <sheetView workbookViewId="0">
      <selection activeCell="G49" sqref="G49"/>
    </sheetView>
  </sheetViews>
  <sheetFormatPr baseColWidth="10" defaultColWidth="10.7109375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3" t="str">
        <f>CONCATENATE(M1," Depressurization Table")</f>
        <v>UT-GOM2-1-H005-3FB-3 Depressurization Table</v>
      </c>
      <c r="B1" s="113"/>
      <c r="C1" s="113"/>
      <c r="D1" s="113"/>
      <c r="E1" s="113"/>
      <c r="F1" s="113"/>
      <c r="G1" s="113"/>
      <c r="H1" s="113"/>
      <c r="I1" s="113"/>
      <c r="M1" s="22" t="s">
        <v>55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33" ca="1" si="0">INDIRECT(CONCATENATE("'",$M$1,"'!A",ROW()+2))</f>
        <v>1</v>
      </c>
      <c r="B4" s="18">
        <f t="shared" ref="B4:B33" ca="1" si="1">INDIRECT(CONCATENATE("'",$M$1,"'!D",ROW()+2))/10</f>
        <v>20.2</v>
      </c>
      <c r="C4" s="18">
        <f t="shared" ref="C4:C33" ca="1" si="2">INDIRECT(CONCATENATE("'",$M$1,"'!E",ROW()+2))/10</f>
        <v>20.2</v>
      </c>
      <c r="D4" s="19">
        <f ca="1">(INDIRECT(CONCATENATE("'",$M$1,"'!R",ROW()+2))+INDIRECT(CONCATENATE("'",$M$1,"'!T",ROW()+2)))/1000</f>
        <v>4.2343125310486132</v>
      </c>
      <c r="E4" s="18">
        <f ca="1">INDIRECT(CONCATENATE("'",$M$1,"'!t",ROW()+2))</f>
        <v>94.312531048612698</v>
      </c>
      <c r="F4" s="68" t="str">
        <f ca="1">IF(INDIRECT(CONCATENATE("'",$M$1,"'!m",ROW()+2))="","",INDIRECT(CONCATENATE("'",$M$1,"'!m",ROW()+2)))</f>
        <v/>
      </c>
      <c r="G4" s="19">
        <f t="shared" ref="G4:G33" ca="1" si="3">INDIRECT(CONCATENATE("'",$M$1,"'!x",ROW()+2))</f>
        <v>0</v>
      </c>
      <c r="H4" s="20">
        <f ca="1">D4/MAX(D4:D20)</f>
        <v>5.8814811733045785E-2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20.2</v>
      </c>
      <c r="C5" s="18">
        <f t="shared" ca="1" si="2"/>
        <v>15.1</v>
      </c>
      <c r="D5" s="19">
        <f t="shared" ref="D5:D33" ca="1" si="4">D4+(INDIRECT(CONCATENATE("'",$M$1,"'!R",ROW()+2))+INDIRECT(CONCATENATE("'",$M$1,"'!T",ROW()+2)))/1000</f>
        <v>8.4686250620972263</v>
      </c>
      <c r="E5" s="18">
        <f t="shared" ref="E5:E33" ca="1" si="5">INDIRECT(CONCATENATE("'",$M$1,"'!t",ROW()+2))</f>
        <v>94.312531048612698</v>
      </c>
      <c r="F5" s="68" t="str">
        <f t="shared" ref="F5:F33" ca="1" si="6">IF(INDIRECT(CONCATENATE("'",$M$1,"'!m",ROW()+2))="","",INDIRECT(CONCATENATE("'",$M$1,"'!m",ROW()+2)))</f>
        <v/>
      </c>
      <c r="G5" s="19">
        <f t="shared" ca="1" si="3"/>
        <v>2.3212284225418616E-3</v>
      </c>
      <c r="H5" s="20">
        <f ca="1">D5/MAX(D5:D20)</f>
        <v>0.11762962346609157</v>
      </c>
      <c r="I5" s="19">
        <f t="shared" ref="I5:I33" ca="1" si="7">INDIRECT(CONCATENATE("'",$M$1,"'!y",ROW()+2))</f>
        <v>0.65163013181777218</v>
      </c>
      <c r="J5" s="21"/>
    </row>
    <row r="6" spans="1:21">
      <c r="A6" s="17">
        <f t="shared" ca="1" si="0"/>
        <v>3</v>
      </c>
      <c r="B6" s="18">
        <f t="shared" ca="1" si="1"/>
        <v>15.1</v>
      </c>
      <c r="C6" s="18">
        <f t="shared" ca="1" si="2"/>
        <v>9.6</v>
      </c>
      <c r="D6" s="19">
        <f t="shared" ca="1" si="4"/>
        <v>12.70293759314584</v>
      </c>
      <c r="E6" s="18">
        <f t="shared" ca="1" si="5"/>
        <v>94.312531048612698</v>
      </c>
      <c r="F6" s="68" t="str">
        <f t="shared" ca="1" si="6"/>
        <v/>
      </c>
      <c r="G6" s="19">
        <f t="shared" ca="1" si="3"/>
        <v>5.5962489224334567E-3</v>
      </c>
      <c r="H6" s="20">
        <f ca="1">D6/MAX(D6:D20)</f>
        <v>0.17644443519913738</v>
      </c>
      <c r="I6" s="19">
        <f t="shared" ca="1" si="7"/>
        <v>0.95322172584919529</v>
      </c>
      <c r="J6" s="21"/>
    </row>
    <row r="7" spans="1:21">
      <c r="A7" s="17">
        <f t="shared" ca="1" si="0"/>
        <v>4</v>
      </c>
      <c r="B7" s="18">
        <f t="shared" ca="1" si="1"/>
        <v>9.6999999999999993</v>
      </c>
      <c r="C7" s="18">
        <f t="shared" ca="1" si="2"/>
        <v>5.6</v>
      </c>
      <c r="D7" s="19">
        <f t="shared" ca="1" si="4"/>
        <v>16.937250124194453</v>
      </c>
      <c r="E7" s="18">
        <f t="shared" ca="1" si="5"/>
        <v>94.312531048612698</v>
      </c>
      <c r="F7" s="68" t="str">
        <f t="shared" ca="1" si="6"/>
        <v/>
      </c>
      <c r="G7" s="19">
        <f t="shared" ca="1" si="3"/>
        <v>1.061317907722599E-2</v>
      </c>
      <c r="H7" s="20">
        <f ca="1">D7/MAX(D7:D20)</f>
        <v>0.23525924693218314</v>
      </c>
      <c r="I7" s="19">
        <f t="shared" ca="1" si="7"/>
        <v>0.7303030423372262</v>
      </c>
      <c r="J7" s="21"/>
    </row>
    <row r="8" spans="1:21">
      <c r="A8" s="17">
        <f t="shared" ca="1" si="0"/>
        <v>5</v>
      </c>
      <c r="B8" s="18">
        <f t="shared" ca="1" si="1"/>
        <v>6.8</v>
      </c>
      <c r="C8" s="18">
        <f t="shared" ca="1" si="2"/>
        <v>5.8</v>
      </c>
      <c r="D8" s="19">
        <f t="shared" ca="1" si="4"/>
        <v>21.171562655243065</v>
      </c>
      <c r="E8" s="18">
        <f t="shared" ca="1" si="5"/>
        <v>94.312531048612698</v>
      </c>
      <c r="F8" s="68" t="str">
        <f t="shared" ca="1" si="6"/>
        <v/>
      </c>
      <c r="G8" s="19">
        <f t="shared" ca="1" si="3"/>
        <v>1.0278933793078595E-2</v>
      </c>
      <c r="H8" s="20">
        <f ca="1">D8/MAX(D8:D20)</f>
        <v>0.29407405866522895</v>
      </c>
      <c r="I8" s="19">
        <f t="shared" ca="1" si="7"/>
        <v>1.0992735967376948</v>
      </c>
      <c r="J8" s="21"/>
    </row>
    <row r="9" spans="1:21">
      <c r="A9" s="17">
        <f t="shared" ca="1" si="0"/>
        <v>6</v>
      </c>
      <c r="B9" s="18">
        <f t="shared" ca="1" si="1"/>
        <v>6.6</v>
      </c>
      <c r="C9" s="18">
        <f t="shared" ca="1" si="2"/>
        <v>5.7</v>
      </c>
      <c r="D9" s="19">
        <f t="shared" ca="1" si="4"/>
        <v>25.405875186291677</v>
      </c>
      <c r="E9" s="18">
        <f t="shared" ca="1" si="5"/>
        <v>94.312531048612698</v>
      </c>
      <c r="F9" s="68" t="str">
        <f t="shared" ca="1" si="6"/>
        <v/>
      </c>
      <c r="G9" s="19">
        <f t="shared" ca="1" si="3"/>
        <v>1.0444719482537236E-2</v>
      </c>
      <c r="H9" s="20">
        <f ca="1">D9/MAX(D9:D20)</f>
        <v>0.35288887039827471</v>
      </c>
      <c r="I9" s="19">
        <f t="shared" ca="1" si="7"/>
        <v>1.1603560996034099</v>
      </c>
      <c r="J9" s="21"/>
    </row>
    <row r="10" spans="1:21">
      <c r="A10" s="17">
        <f t="shared" ca="1" si="0"/>
        <v>7</v>
      </c>
      <c r="B10" s="18">
        <f t="shared" ca="1" si="1"/>
        <v>6.4</v>
      </c>
      <c r="C10" s="18">
        <f t="shared" ca="1" si="2"/>
        <v>5.5</v>
      </c>
      <c r="D10" s="19">
        <f t="shared" ca="1" si="4"/>
        <v>29.640187717340289</v>
      </c>
      <c r="E10" s="18">
        <f t="shared" ca="1" si="5"/>
        <v>94.312531048612698</v>
      </c>
      <c r="F10" s="68" t="str">
        <f t="shared" ca="1" si="6"/>
        <v/>
      </c>
      <c r="G10" s="19">
        <f t="shared" ca="1" si="3"/>
        <v>1.0784355703721115E-2</v>
      </c>
      <c r="H10" s="20">
        <f ca="1">D10/MAX(D10:D20)</f>
        <v>0.41170368213132047</v>
      </c>
      <c r="I10" s="19">
        <f t="shared" ca="1" si="7"/>
        <v>1.2140460823913588</v>
      </c>
      <c r="J10" s="21"/>
    </row>
    <row r="11" spans="1:21">
      <c r="A11" s="17">
        <f t="shared" ca="1" si="0"/>
        <v>8</v>
      </c>
      <c r="B11" s="18">
        <f t="shared" ca="1" si="1"/>
        <v>6.2</v>
      </c>
      <c r="C11" s="18">
        <f t="shared" ca="1" si="2"/>
        <v>5.4</v>
      </c>
      <c r="D11" s="19">
        <f t="shared" ca="1" si="4"/>
        <v>33.874500248388905</v>
      </c>
      <c r="E11" s="18">
        <f t="shared" ca="1" si="5"/>
        <v>94.312531048612698</v>
      </c>
      <c r="F11" s="68" t="str">
        <f t="shared" ca="1" si="6"/>
        <v/>
      </c>
      <c r="G11" s="19">
        <f t="shared" ca="1" si="3"/>
        <v>1.0958293184173858E-2</v>
      </c>
      <c r="H11" s="20">
        <f ca="1">D11/MAX(D11:D20)</f>
        <v>0.47051849386436628</v>
      </c>
      <c r="I11" s="19">
        <f t="shared" ca="1" si="7"/>
        <v>1.3015073191609172</v>
      </c>
      <c r="J11" s="21"/>
    </row>
    <row r="12" spans="1:21">
      <c r="A12" s="17">
        <f t="shared" ca="1" si="0"/>
        <v>9</v>
      </c>
      <c r="B12" s="18">
        <f t="shared" ca="1" si="1"/>
        <v>6.1</v>
      </c>
      <c r="C12" s="18">
        <f t="shared" ca="1" si="2"/>
        <v>5.2</v>
      </c>
      <c r="D12" s="19">
        <f t="shared" ca="1" si="4"/>
        <v>38.108812779437521</v>
      </c>
      <c r="E12" s="18">
        <f t="shared" ca="1" si="5"/>
        <v>94.312531048612698</v>
      </c>
      <c r="F12" s="68" t="str">
        <f t="shared" ca="1" si="6"/>
        <v/>
      </c>
      <c r="G12" s="19">
        <f t="shared" ca="1" si="3"/>
        <v>1.1314629540925273E-2</v>
      </c>
      <c r="H12" s="20">
        <f ca="1">D12/MAX(D12:D20)</f>
        <v>0.5293333055974121</v>
      </c>
      <c r="I12" s="19">
        <f t="shared" ca="1" si="7"/>
        <v>1.3910097115028777</v>
      </c>
      <c r="J12" s="21"/>
    </row>
    <row r="13" spans="1:21">
      <c r="A13" s="17">
        <f t="shared" ca="1" si="0"/>
        <v>10</v>
      </c>
      <c r="B13" s="18">
        <f t="shared" ca="1" si="1"/>
        <v>5.9</v>
      </c>
      <c r="C13" s="18">
        <f t="shared" ca="1" si="2"/>
        <v>5.3</v>
      </c>
      <c r="D13" s="19">
        <f t="shared" ca="1" si="4"/>
        <v>42.343125310486137</v>
      </c>
      <c r="E13" s="18">
        <f t="shared" ca="1" si="5"/>
        <v>94.312531048612698</v>
      </c>
      <c r="F13" s="68" t="str">
        <f t="shared" ca="1" si="6"/>
        <v/>
      </c>
      <c r="G13" s="19">
        <f t="shared" ca="1" si="3"/>
        <v>1.1135036047529152E-2</v>
      </c>
      <c r="H13" s="20">
        <f ca="1">D13/MAX(D13:D20)</f>
        <v>0.58814811733045791</v>
      </c>
      <c r="I13" s="19">
        <f t="shared" ca="1" si="7"/>
        <v>1.7406453884846109</v>
      </c>
      <c r="J13" s="21"/>
    </row>
    <row r="14" spans="1:21">
      <c r="A14" s="17">
        <f t="shared" ca="1" si="0"/>
        <v>11</v>
      </c>
      <c r="B14" s="18">
        <f t="shared" ca="1" si="1"/>
        <v>5.9</v>
      </c>
      <c r="C14" s="18">
        <f t="shared" ca="1" si="2"/>
        <v>4.7</v>
      </c>
      <c r="D14" s="19">
        <f t="shared" ca="1" si="4"/>
        <v>46.577437841534753</v>
      </c>
      <c r="E14" s="18">
        <f t="shared" ca="1" si="5"/>
        <v>94.312531048612698</v>
      </c>
      <c r="F14" s="68" t="str">
        <f t="shared" ca="1" si="6"/>
        <v/>
      </c>
      <c r="G14" s="19">
        <f t="shared" ca="1" si="3"/>
        <v>1.2256991857217403E-2</v>
      </c>
      <c r="H14" s="20">
        <f ca="1">D14/MAX(D14:D20)</f>
        <v>0.64696292906350383</v>
      </c>
      <c r="I14" s="19">
        <f t="shared" ca="1" si="7"/>
        <v>1.9298085481776022</v>
      </c>
      <c r="J14" s="21"/>
    </row>
    <row r="15" spans="1:21">
      <c r="A15" s="17">
        <f t="shared" ca="1" si="0"/>
        <v>12</v>
      </c>
      <c r="B15" s="18">
        <f t="shared" ca="1" si="1"/>
        <v>5.7</v>
      </c>
      <c r="C15" s="18">
        <f t="shared" ca="1" si="2"/>
        <v>4</v>
      </c>
      <c r="D15" s="19">
        <f t="shared" ca="1" si="4"/>
        <v>50.811750372583369</v>
      </c>
      <c r="E15" s="18">
        <f t="shared" ca="1" si="5"/>
        <v>94.312531048612698</v>
      </c>
      <c r="F15" s="68" t="str">
        <f t="shared" ca="1" si="6"/>
        <v/>
      </c>
      <c r="G15" s="19">
        <f t="shared" ca="1" si="3"/>
        <v>1.3709603025119262E-2</v>
      </c>
      <c r="H15" s="20">
        <f ca="1">D15/MAX(D15:D20)</f>
        <v>0.70577774079654965</v>
      </c>
      <c r="I15" s="19">
        <f t="shared" ca="1" si="7"/>
        <v>2.4624361578674758</v>
      </c>
      <c r="J15" s="21"/>
    </row>
    <row r="16" spans="1:21">
      <c r="A16" s="17">
        <f t="shared" ca="1" si="0"/>
        <v>13</v>
      </c>
      <c r="B16" s="18">
        <f t="shared" ca="1" si="1"/>
        <v>5.4</v>
      </c>
      <c r="C16" s="18">
        <f t="shared" ca="1" si="2"/>
        <v>4</v>
      </c>
      <c r="D16" s="19">
        <f t="shared" ca="1" si="4"/>
        <v>55.046062903631984</v>
      </c>
      <c r="E16" s="18">
        <f t="shared" ca="1" si="5"/>
        <v>94.312531048612698</v>
      </c>
      <c r="F16" s="68" t="str">
        <f t="shared" ca="1" si="6"/>
        <v/>
      </c>
      <c r="G16" s="19">
        <f t="shared" ca="1" si="3"/>
        <v>1.3709603025119262E-2</v>
      </c>
      <c r="H16" s="20">
        <f ca="1">D16/MAX(D16:D20)</f>
        <v>0.76459255252959546</v>
      </c>
      <c r="I16" s="19">
        <f t="shared" ca="1" si="7"/>
        <v>3.5313229552508703</v>
      </c>
      <c r="J16" s="21"/>
    </row>
    <row r="17" spans="1:10">
      <c r="A17" s="17">
        <f t="shared" ca="1" si="0"/>
        <v>14</v>
      </c>
      <c r="B17" s="18">
        <f t="shared" ca="1" si="1"/>
        <v>5.3</v>
      </c>
      <c r="C17" s="18">
        <f t="shared" ca="1" si="2"/>
        <v>3.7</v>
      </c>
      <c r="D17" s="19">
        <f t="shared" ca="1" si="4"/>
        <v>59.2803754346806</v>
      </c>
      <c r="E17" s="18">
        <f t="shared" ca="1" si="5"/>
        <v>94.312531048612698</v>
      </c>
      <c r="F17" s="68" t="str">
        <f t="shared" ca="1" si="6"/>
        <v>14G</v>
      </c>
      <c r="G17" s="19">
        <f t="shared" ca="1" si="3"/>
        <v>1.4383713190102719E-2</v>
      </c>
      <c r="H17" s="20">
        <f ca="1">D17/MAX(D17:D21)</f>
        <v>0.77762912986801813</v>
      </c>
      <c r="I17" s="19">
        <f t="shared" ca="1" si="7"/>
        <v>4.9903840644872224</v>
      </c>
      <c r="J17" s="21"/>
    </row>
    <row r="18" spans="1:10">
      <c r="A18" s="17">
        <f t="shared" ca="1" si="0"/>
        <v>15</v>
      </c>
      <c r="B18" s="18">
        <f t="shared" ca="1" si="1"/>
        <v>5.0999999999999996</v>
      </c>
      <c r="C18" s="18">
        <f t="shared" ca="1" si="2"/>
        <v>4.0999999999999996</v>
      </c>
      <c r="D18" s="19">
        <f t="shared" ca="1" si="4"/>
        <v>63.51795864086656</v>
      </c>
      <c r="E18" s="18">
        <f t="shared" ca="1" si="5"/>
        <v>97.583206185959995</v>
      </c>
      <c r="F18" s="68" t="str">
        <f t="shared" ca="1" si="6"/>
        <v>15G</v>
      </c>
      <c r="G18" s="19">
        <f t="shared" ca="1" si="3"/>
        <v>1.349199488413245E-2</v>
      </c>
      <c r="H18" s="20">
        <f ca="1">D18/MAX(D18:D22)</f>
        <v>0.78933208032488522</v>
      </c>
      <c r="I18" s="19">
        <f t="shared" ca="1" si="7"/>
        <v>6.2471325413956302</v>
      </c>
      <c r="J18" s="21"/>
    </row>
    <row r="19" spans="1:10">
      <c r="A19" s="17">
        <f t="shared" ca="1" si="0"/>
        <v>16</v>
      </c>
      <c r="B19" s="18">
        <f t="shared" ca="1" si="1"/>
        <v>5.0999999999999996</v>
      </c>
      <c r="C19" s="18">
        <f t="shared" ca="1" si="2"/>
        <v>4.2</v>
      </c>
      <c r="D19" s="19">
        <f t="shared" ca="1" si="4"/>
        <v>67.755877097628655</v>
      </c>
      <c r="E19" s="18">
        <f t="shared" ca="1" si="5"/>
        <v>97.918456762102409</v>
      </c>
      <c r="F19" s="68" t="str">
        <f t="shared" ca="1" si="6"/>
        <v>16G</v>
      </c>
      <c r="G19" s="19">
        <f t="shared" ca="1" si="3"/>
        <v>1.3277840767520884E-2</v>
      </c>
      <c r="H19" s="20">
        <f ca="1">D19/MAX(D19:D23)</f>
        <v>0.79986718636355292</v>
      </c>
      <c r="I19" s="19">
        <f t="shared" ca="1" si="7"/>
        <v>7.0037237453089123</v>
      </c>
      <c r="J19" s="21"/>
    </row>
    <row r="20" spans="1:10">
      <c r="A20" s="17">
        <f t="shared" ca="1" si="0"/>
        <v>17</v>
      </c>
      <c r="B20" s="18">
        <f t="shared" ca="1" si="1"/>
        <v>4.9000000000000004</v>
      </c>
      <c r="C20" s="18">
        <f t="shared" ca="1" si="2"/>
        <v>4</v>
      </c>
      <c r="D20" s="19">
        <f t="shared" ca="1" si="4"/>
        <v>71.993982574792724</v>
      </c>
      <c r="E20" s="18">
        <f t="shared" ca="1" si="5"/>
        <v>98.105477164073022</v>
      </c>
      <c r="F20" s="68" t="str">
        <f t="shared" ca="1" si="6"/>
        <v>17G</v>
      </c>
      <c r="G20" s="19">
        <f t="shared" ca="1" si="3"/>
        <v>1.3709603025119262E-2</v>
      </c>
      <c r="H20" s="20">
        <f ca="1">D20/MAX(D20:D24)</f>
        <v>0.80940028844078971</v>
      </c>
      <c r="I20" s="19">
        <f t="shared" ca="1" si="7"/>
        <v>6.7827169259808109</v>
      </c>
    </row>
    <row r="21" spans="1:10">
      <c r="A21" s="17">
        <f t="shared" ca="1" si="0"/>
        <v>18</v>
      </c>
      <c r="B21" s="18">
        <f t="shared" ca="1" si="1"/>
        <v>4.8</v>
      </c>
      <c r="C21" s="18">
        <f t="shared" ca="1" si="2"/>
        <v>3.6</v>
      </c>
      <c r="D21" s="19">
        <f t="shared" ca="1" si="4"/>
        <v>76.232194960008599</v>
      </c>
      <c r="E21" s="18">
        <f t="shared" ca="1" si="5"/>
        <v>98.212385215873425</v>
      </c>
      <c r="F21" s="68" t="str">
        <f t="shared" ca="1" si="6"/>
        <v>18G</v>
      </c>
      <c r="G21" s="19">
        <f t="shared" ca="1" si="3"/>
        <v>1.4615703575117383E-2</v>
      </c>
      <c r="H21" s="20">
        <f t="shared" ref="H21:H29" ca="1" si="8">D21/MAX(D21:D25)</f>
        <v>0.81806718048076865</v>
      </c>
      <c r="I21" s="19">
        <f t="shared" ca="1" si="7"/>
        <v>6.2521287175493274</v>
      </c>
    </row>
    <row r="22" spans="1:10">
      <c r="A22" s="17">
        <f t="shared" ca="1" si="0"/>
        <v>19</v>
      </c>
      <c r="B22" s="18">
        <f t="shared" ca="1" si="1"/>
        <v>4.8</v>
      </c>
      <c r="C22" s="18">
        <f t="shared" ca="1" si="2"/>
        <v>3.7</v>
      </c>
      <c r="D22" s="19">
        <f t="shared" ca="1" si="4"/>
        <v>80.47051453264497</v>
      </c>
      <c r="E22" s="18">
        <f t="shared" ca="1" si="5"/>
        <v>98.319572636370793</v>
      </c>
      <c r="F22" s="68" t="str">
        <f t="shared" ca="1" si="6"/>
        <v>19G</v>
      </c>
      <c r="G22" s="19">
        <f t="shared" ca="1" si="3"/>
        <v>1.4383713190102719E-2</v>
      </c>
      <c r="H22" s="20">
        <f t="shared" ca="1" si="8"/>
        <v>0.82598164429957244</v>
      </c>
      <c r="I22" s="19">
        <f t="shared" ca="1" si="7"/>
        <v>7.1953785554130789</v>
      </c>
    </row>
    <row r="23" spans="1:10">
      <c r="A23" s="17">
        <f t="shared" ca="1" si="0"/>
        <v>20</v>
      </c>
      <c r="B23" s="18">
        <f t="shared" ca="1" si="1"/>
        <v>4.7</v>
      </c>
      <c r="C23" s="18">
        <f t="shared" ca="1" si="2"/>
        <v>3.8</v>
      </c>
      <c r="D23" s="19">
        <f t="shared" ca="1" si="4"/>
        <v>84.708909494922679</v>
      </c>
      <c r="E23" s="18">
        <f t="shared" ca="1" si="5"/>
        <v>98.394962277715692</v>
      </c>
      <c r="F23" s="68" t="str">
        <f t="shared" ca="1" si="6"/>
        <v>20G</v>
      </c>
      <c r="G23" s="19">
        <f t="shared" ca="1" si="3"/>
        <v>1.4155405114219644E-2</v>
      </c>
      <c r="H23" s="20">
        <f t="shared" ca="1" si="8"/>
        <v>0.83323678567562076</v>
      </c>
      <c r="I23" s="19">
        <f t="shared" ca="1" si="7"/>
        <v>7.837634248998544</v>
      </c>
    </row>
    <row r="24" spans="1:10">
      <c r="A24" s="17">
        <f t="shared" ca="1" si="0"/>
        <v>21</v>
      </c>
      <c r="B24" s="18">
        <f t="shared" ca="1" si="1"/>
        <v>4.5</v>
      </c>
      <c r="C24" s="18">
        <f t="shared" ca="1" si="2"/>
        <v>3.6</v>
      </c>
      <c r="D24" s="19">
        <f t="shared" ca="1" si="4"/>
        <v>88.947315194908441</v>
      </c>
      <c r="E24" s="18">
        <f t="shared" ca="1" si="5"/>
        <v>98.405699985767825</v>
      </c>
      <c r="F24" s="68" t="str">
        <f t="shared" ca="1" si="6"/>
        <v>21G</v>
      </c>
      <c r="G24" s="19">
        <f t="shared" ca="1" si="3"/>
        <v>1.4615703575117383E-2</v>
      </c>
      <c r="H24" s="20">
        <f t="shared" ca="1" si="8"/>
        <v>0.83991201083085065</v>
      </c>
      <c r="I24" s="19">
        <f t="shared" ca="1" si="7"/>
        <v>7.6597719529543511</v>
      </c>
    </row>
    <row r="25" spans="1:10">
      <c r="A25" s="17">
        <f t="shared" ca="1" si="0"/>
        <v>22</v>
      </c>
      <c r="B25" s="18">
        <f t="shared" ca="1" si="1"/>
        <v>4.3</v>
      </c>
      <c r="C25" s="18">
        <f t="shared" ca="1" si="2"/>
        <v>3.3</v>
      </c>
      <c r="D25" s="19">
        <f t="shared" ca="1" si="4"/>
        <v>93.18573923868675</v>
      </c>
      <c r="E25" s="18">
        <f t="shared" ca="1" si="5"/>
        <v>98.42404377831366</v>
      </c>
      <c r="F25" s="68" t="str">
        <f t="shared" ca="1" si="6"/>
        <v>22G</v>
      </c>
      <c r="G25" s="19">
        <f t="shared" ca="1" si="3"/>
        <v>1.5334367297934109E-2</v>
      </c>
      <c r="H25" s="20">
        <f t="shared" ca="1" si="8"/>
        <v>0.84607295684111983</v>
      </c>
      <c r="I25" s="19">
        <f t="shared" ca="1" si="7"/>
        <v>7.9744539022785776</v>
      </c>
    </row>
    <row r="26" spans="1:10">
      <c r="A26" s="17">
        <f t="shared" ca="1" si="0"/>
        <v>23</v>
      </c>
      <c r="B26" s="18">
        <f t="shared" ca="1" si="1"/>
        <v>4.0999999999999996</v>
      </c>
      <c r="C26" s="18">
        <f t="shared" ca="1" si="2"/>
        <v>3.3</v>
      </c>
      <c r="D26" s="19">
        <f t="shared" ca="1" si="4"/>
        <v>97.424095423916455</v>
      </c>
      <c r="E26" s="18">
        <f t="shared" ca="1" si="5"/>
        <v>98.356185229711016</v>
      </c>
      <c r="F26" s="68" t="str">
        <f t="shared" ca="1" si="6"/>
        <v>23G</v>
      </c>
      <c r="G26" s="19">
        <f t="shared" ca="1" si="3"/>
        <v>1.5334367297934109E-2</v>
      </c>
      <c r="H26" s="20">
        <f t="shared" ca="1" si="8"/>
        <v>0.85177692005863936</v>
      </c>
      <c r="I26" s="19">
        <f t="shared" ca="1" si="7"/>
        <v>8.0897717336029284</v>
      </c>
    </row>
    <row r="27" spans="1:10">
      <c r="A27" s="17">
        <f t="shared" ca="1" si="0"/>
        <v>24</v>
      </c>
      <c r="B27" s="18">
        <f t="shared" ca="1" si="1"/>
        <v>3.8</v>
      </c>
      <c r="C27" s="18">
        <f t="shared" ca="1" si="2"/>
        <v>2.9</v>
      </c>
      <c r="D27" s="19">
        <f t="shared" ca="1" si="4"/>
        <v>101.66246972190193</v>
      </c>
      <c r="E27" s="18">
        <f t="shared" ca="1" si="5"/>
        <v>98.374297985466768</v>
      </c>
      <c r="F27" s="68" t="str">
        <f t="shared" ca="1" si="6"/>
        <v>24G</v>
      </c>
      <c r="G27" s="19">
        <f t="shared" ca="1" si="3"/>
        <v>1.6347852416144559E-2</v>
      </c>
      <c r="H27" s="20">
        <f t="shared" ca="1" si="8"/>
        <v>0.85707290290974603</v>
      </c>
      <c r="I27" s="19">
        <f t="shared" ca="1" si="7"/>
        <v>7.7984196217811368</v>
      </c>
    </row>
    <row r="28" spans="1:10">
      <c r="A28" s="17">
        <f t="shared" ca="1" si="0"/>
        <v>25</v>
      </c>
      <c r="B28" s="18">
        <f t="shared" ca="1" si="1"/>
        <v>3.1</v>
      </c>
      <c r="C28" s="18">
        <f t="shared" ca="1" si="2"/>
        <v>2.2000000000000002</v>
      </c>
      <c r="D28" s="19">
        <f t="shared" ca="1" si="4"/>
        <v>105.90075394554809</v>
      </c>
      <c r="E28" s="18">
        <f t="shared" ca="1" si="5"/>
        <v>98.284223646154572</v>
      </c>
      <c r="F28" s="68" t="str">
        <f t="shared" ca="1" si="6"/>
        <v>25G</v>
      </c>
      <c r="G28" s="19">
        <f t="shared" ca="1" si="3"/>
        <v>1.8285283171384864E-2</v>
      </c>
      <c r="H28" s="20">
        <f t="shared" ca="1" si="8"/>
        <v>0.86200339319332586</v>
      </c>
      <c r="I28" s="19">
        <f t="shared" ca="1" si="7"/>
        <v>6.7216855897405567</v>
      </c>
    </row>
    <row r="29" spans="1:10">
      <c r="A29" s="17">
        <f t="shared" ca="1" si="0"/>
        <v>26</v>
      </c>
      <c r="B29" s="18">
        <f t="shared" ca="1" si="1"/>
        <v>2.2999999999999998</v>
      </c>
      <c r="C29" s="18">
        <f t="shared" ca="1" si="2"/>
        <v>1.6</v>
      </c>
      <c r="D29" s="19">
        <f t="shared" ca="1" si="4"/>
        <v>110.13912982942165</v>
      </c>
      <c r="E29" s="18">
        <f t="shared" ca="1" si="5"/>
        <v>98.375883873565044</v>
      </c>
      <c r="F29" s="68" t="str">
        <f t="shared" ca="1" si="6"/>
        <v>26G</v>
      </c>
      <c r="G29" s="19">
        <f t="shared" ca="1" si="3"/>
        <v>2.0127691188598456E-2</v>
      </c>
      <c r="H29" s="20">
        <f t="shared" ca="1" si="8"/>
        <v>0.8666106716032328</v>
      </c>
      <c r="I29" s="19">
        <f t="shared" ca="1" si="7"/>
        <v>5.3318307139071885</v>
      </c>
    </row>
    <row r="30" spans="1:10">
      <c r="A30" s="17">
        <f t="shared" ca="1" si="0"/>
        <v>27</v>
      </c>
      <c r="B30" s="18">
        <f t="shared" ca="1" si="1"/>
        <v>1.7</v>
      </c>
      <c r="C30" s="18">
        <f t="shared" ca="1" si="2"/>
        <v>1</v>
      </c>
      <c r="D30" s="19">
        <f t="shared" ca="1" si="4"/>
        <v>114.37747740007963</v>
      </c>
      <c r="E30" s="18">
        <f t="shared" ca="1" si="5"/>
        <v>98.347570657977172</v>
      </c>
      <c r="F30" s="68" t="str">
        <f t="shared" ca="1" si="6"/>
        <v>27G</v>
      </c>
      <c r="G30" s="19">
        <f t="shared" ca="1" si="3"/>
        <v>2.2155738513121494E-2</v>
      </c>
      <c r="H30" s="20">
        <f ca="1">D30/MAX(D30:D33)</f>
        <v>0.89995937555962324</v>
      </c>
      <c r="I30" s="19">
        <f t="shared" ca="1" si="7"/>
        <v>3.562676704792612</v>
      </c>
    </row>
    <row r="31" spans="1:10">
      <c r="A31" s="17">
        <f t="shared" ca="1" si="0"/>
        <v>28</v>
      </c>
      <c r="B31" s="18">
        <f t="shared" ca="1" si="1"/>
        <v>1</v>
      </c>
      <c r="C31" s="18">
        <f t="shared" ca="1" si="2"/>
        <v>0.5</v>
      </c>
      <c r="D31" s="19">
        <f t="shared" ca="1" si="4"/>
        <v>118.61589530687506</v>
      </c>
      <c r="E31" s="18">
        <f t="shared" ca="1" si="5"/>
        <v>98.417906795437148</v>
      </c>
      <c r="F31" s="68" t="str">
        <f t="shared" ca="1" si="6"/>
        <v>28G</v>
      </c>
      <c r="G31" s="19">
        <f t="shared" ca="1" si="3"/>
        <v>2.4001025006052529E-2</v>
      </c>
      <c r="H31" s="20">
        <f ca="1">D31/MAX(D31:D33)</f>
        <v>0.93330863294373212</v>
      </c>
      <c r="I31" s="19">
        <f t="shared" ca="1" si="7"/>
        <v>2.060455654272388</v>
      </c>
    </row>
    <row r="32" spans="1:10">
      <c r="A32" s="17">
        <f t="shared" ca="1" si="0"/>
        <v>29</v>
      </c>
      <c r="B32" s="18">
        <f t="shared" ca="1" si="1"/>
        <v>0.5</v>
      </c>
      <c r="C32" s="18">
        <f t="shared" ca="1" si="2"/>
        <v>0</v>
      </c>
      <c r="D32" s="19">
        <f t="shared" ca="1" si="4"/>
        <v>122.85421934736769</v>
      </c>
      <c r="E32" s="18">
        <f t="shared" ca="1" si="5"/>
        <v>98.324040492627134</v>
      </c>
      <c r="F32" s="68" t="str">
        <f t="shared" ca="1" si="6"/>
        <v>29G</v>
      </c>
      <c r="G32" s="19">
        <f t="shared" ca="1" si="3"/>
        <v>2.5999999999999999E-2</v>
      </c>
      <c r="H32" s="20">
        <f ca="1">D32/MAX(D32:D33)</f>
        <v>0.96665715175709099</v>
      </c>
      <c r="I32" s="19">
        <f t="shared" ca="1" si="7"/>
        <v>0.4260414959426474</v>
      </c>
    </row>
    <row r="33" spans="1:9">
      <c r="A33" s="17">
        <f t="shared" ca="1" si="0"/>
        <v>30</v>
      </c>
      <c r="B33" s="18">
        <f t="shared" ca="1" si="1"/>
        <v>0</v>
      </c>
      <c r="C33" s="18">
        <f t="shared" ca="1" si="2"/>
        <v>0</v>
      </c>
      <c r="D33" s="19">
        <f t="shared" ca="1" si="4"/>
        <v>127.09182270472607</v>
      </c>
      <c r="E33" s="18">
        <f t="shared" ca="1" si="5"/>
        <v>97.603357358374836</v>
      </c>
      <c r="F33" s="68" t="str">
        <f t="shared" ca="1" si="6"/>
        <v>30G</v>
      </c>
      <c r="G33" s="19">
        <f t="shared" ca="1" si="3"/>
        <v>2.5999999999999999E-2</v>
      </c>
      <c r="H33" s="20">
        <f ca="1">D33/MAX(D33:D33)</f>
        <v>1</v>
      </c>
      <c r="I33" s="19">
        <f t="shared" ca="1" si="7"/>
        <v>0.44377919393364429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6" sqref="N16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A8EB17A7-A0C5-418C-8771-22EE995AEB5F}"/>
</file>

<file path=customXml/itemProps2.xml><?xml version="1.0" encoding="utf-8"?>
<ds:datastoreItem xmlns:ds="http://schemas.openxmlformats.org/officeDocument/2006/customXml" ds:itemID="{2C91806A-DD94-4AF8-9A05-A0B9434BCE28}"/>
</file>

<file path=customXml/itemProps3.xml><?xml version="1.0" encoding="utf-8"?>
<ds:datastoreItem xmlns:ds="http://schemas.openxmlformats.org/officeDocument/2006/customXml" ds:itemID="{F0BFB079-0D22-4567-9509-50847D753F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UT-GOM2-1-H005-3FB-3</vt:lpstr>
      <vt:lpstr>UT-GOM2-1-H005-3FB-3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