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date1904="1" showInkAnnotation="0" codeName="ThisWorkbook" autoCompressPictures="0"/>
  <bookViews>
    <workbookView xWindow="11540" yWindow="4460" windowWidth="26660" windowHeight="16480" tabRatio="623" activeTab="2"/>
  </bookViews>
  <sheets>
    <sheet name="UT-GOM2-1-H005-2FB-1" sheetId="27" r:id="rId1"/>
    <sheet name="UT-GOM2-1-H005-2FB-1 table" sheetId="30" r:id="rId2"/>
    <sheet name="graph" sheetId="31" r:id="rId3"/>
  </sheets>
  <definedNames>
    <definedName name="_xlnm.Print_Area" localSheetId="0">'UT-GOM2-1-H005-2FB-1'!#REF!</definedName>
    <definedName name="_xlnm.Print_Area" localSheetId="1">'UT-GOM2-1-H005-2FB-1 table'!$A$1:$I$13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30" l="1"/>
  <c r="B14" i="30"/>
  <c r="C14" i="30"/>
  <c r="D4" i="30"/>
  <c r="D5" i="30"/>
  <c r="D6" i="30"/>
  <c r="D7" i="30"/>
  <c r="D8" i="30"/>
  <c r="D9" i="30"/>
  <c r="D10" i="30"/>
  <c r="D11" i="30"/>
  <c r="D12" i="30"/>
  <c r="D13" i="30"/>
  <c r="D14" i="30"/>
  <c r="E14" i="30"/>
  <c r="F14" i="30"/>
  <c r="G14" i="30"/>
  <c r="H14" i="30"/>
  <c r="I14" i="30"/>
  <c r="X8" i="27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7" i="27"/>
  <c r="Y7" i="27"/>
  <c r="T14" i="27"/>
  <c r="T13" i="27"/>
  <c r="T12" i="27"/>
  <c r="T11" i="27"/>
  <c r="T10" i="27"/>
  <c r="T9" i="27"/>
  <c r="T8" i="27"/>
  <c r="T7" i="27"/>
  <c r="T6" i="27"/>
  <c r="T15" i="27"/>
  <c r="AB7" i="27"/>
  <c r="AB8" i="27"/>
  <c r="AB9" i="27"/>
  <c r="AB10" i="27"/>
  <c r="AB11" i="27"/>
  <c r="AB12" i="27"/>
  <c r="AB13" i="27"/>
  <c r="AB14" i="27"/>
  <c r="AB15" i="27"/>
  <c r="AB16" i="27"/>
  <c r="AB6" i="27"/>
  <c r="N2" i="27"/>
  <c r="R6" i="27"/>
  <c r="R7" i="27"/>
  <c r="R8" i="27"/>
  <c r="R9" i="27"/>
  <c r="R10" i="27"/>
  <c r="R11" i="27"/>
  <c r="R12" i="27"/>
  <c r="R13" i="27"/>
  <c r="R14" i="27"/>
  <c r="R15" i="27"/>
  <c r="R16" i="27"/>
  <c r="W6" i="27"/>
  <c r="Y6" i="27"/>
  <c r="W7" i="27"/>
  <c r="W8" i="27"/>
  <c r="W9" i="27"/>
  <c r="W10" i="27"/>
  <c r="U14" i="27"/>
  <c r="A7" i="27"/>
  <c r="A8" i="27"/>
  <c r="A9" i="27"/>
  <c r="A10" i="27"/>
  <c r="A11" i="27"/>
  <c r="A12" i="27"/>
  <c r="A13" i="27"/>
  <c r="A14" i="27"/>
  <c r="A15" i="27"/>
  <c r="A16" i="27"/>
  <c r="O7" i="27"/>
  <c r="P7" i="27"/>
  <c r="O8" i="27"/>
  <c r="O9" i="27"/>
  <c r="O10" i="27"/>
  <c r="O11" i="27"/>
  <c r="O12" i="27"/>
  <c r="O13" i="27"/>
  <c r="O14" i="27"/>
  <c r="O15" i="27"/>
  <c r="O16" i="27"/>
  <c r="S6" i="27"/>
  <c r="Q6" i="27"/>
  <c r="S7" i="27"/>
  <c r="U7" i="27"/>
  <c r="Q7" i="27"/>
  <c r="S8" i="27"/>
  <c r="Q8" i="27"/>
  <c r="S9" i="27"/>
  <c r="Q9" i="27"/>
  <c r="S10" i="27"/>
  <c r="U10" i="27"/>
  <c r="Q10" i="27"/>
  <c r="S11" i="27"/>
  <c r="Q11" i="27"/>
  <c r="S12" i="27"/>
  <c r="Q12" i="27"/>
  <c r="S13" i="27"/>
  <c r="Q13" i="27"/>
  <c r="S14" i="27"/>
  <c r="Q14" i="27"/>
  <c r="S15" i="27"/>
  <c r="U15" i="27"/>
  <c r="Q15" i="27"/>
  <c r="S16" i="27"/>
  <c r="Q16" i="27"/>
  <c r="A1" i="30"/>
  <c r="G10" i="30"/>
  <c r="E5" i="30"/>
  <c r="E7" i="30"/>
  <c r="G5" i="30"/>
  <c r="A8" i="30"/>
  <c r="E4" i="30"/>
  <c r="C11" i="30"/>
  <c r="G7" i="30"/>
  <c r="G11" i="30"/>
  <c r="B12" i="30"/>
  <c r="C5" i="30"/>
  <c r="A4" i="30"/>
  <c r="B11" i="30"/>
  <c r="F13" i="30"/>
  <c r="B5" i="30"/>
  <c r="C10" i="30"/>
  <c r="C7" i="30"/>
  <c r="E6" i="30"/>
  <c r="A12" i="30"/>
  <c r="E13" i="30"/>
  <c r="A7" i="30"/>
  <c r="F8" i="30"/>
  <c r="E9" i="30"/>
  <c r="A5" i="30"/>
  <c r="A13" i="30"/>
  <c r="B9" i="30"/>
  <c r="B8" i="30"/>
  <c r="F5" i="30"/>
  <c r="F9" i="30"/>
  <c r="G6" i="30"/>
  <c r="G8" i="30"/>
  <c r="F12" i="30"/>
  <c r="C6" i="30"/>
  <c r="E11" i="30"/>
  <c r="B4" i="30"/>
  <c r="C9" i="30"/>
  <c r="C8" i="30"/>
  <c r="I4" i="30"/>
  <c r="B10" i="30"/>
  <c r="F6" i="30"/>
  <c r="F7" i="30"/>
  <c r="B6" i="30"/>
  <c r="F11" i="30"/>
  <c r="B7" i="30"/>
  <c r="F4" i="30"/>
  <c r="A10" i="30"/>
  <c r="G4" i="30"/>
  <c r="E10" i="30"/>
  <c r="G12" i="30"/>
  <c r="A11" i="30"/>
  <c r="C12" i="30"/>
  <c r="C13" i="30"/>
  <c r="G13" i="30"/>
  <c r="A6" i="30"/>
  <c r="C4" i="30"/>
  <c r="E8" i="30"/>
  <c r="E12" i="30"/>
  <c r="G9" i="30"/>
  <c r="F10" i="30"/>
  <c r="B13" i="30"/>
  <c r="A9" i="30"/>
  <c r="U13" i="27"/>
  <c r="U12" i="27"/>
  <c r="U8" i="27"/>
  <c r="U11" i="27"/>
  <c r="U16" i="27"/>
  <c r="U9" i="27"/>
  <c r="W11" i="27"/>
  <c r="P8" i="27"/>
  <c r="P9" i="27"/>
  <c r="P10" i="27"/>
  <c r="P11" i="27"/>
  <c r="P12" i="27"/>
  <c r="P13" i="27"/>
  <c r="P14" i="27"/>
  <c r="P15" i="27"/>
  <c r="P16" i="27"/>
  <c r="U6" i="27"/>
  <c r="V6" i="27"/>
  <c r="V7" i="27"/>
  <c r="Z6" i="27"/>
  <c r="I7" i="30"/>
  <c r="I6" i="30"/>
  <c r="I5" i="30"/>
  <c r="I8" i="30"/>
  <c r="W12" i="27"/>
  <c r="V8" i="27"/>
  <c r="Z7" i="27"/>
  <c r="I9" i="30"/>
  <c r="W13" i="27"/>
  <c r="Z8" i="27"/>
  <c r="V9" i="27"/>
  <c r="I10" i="30"/>
  <c r="W14" i="27"/>
  <c r="V10" i="27"/>
  <c r="Z9" i="27"/>
  <c r="I11" i="30"/>
  <c r="W15" i="27"/>
  <c r="V11" i="27"/>
  <c r="Z10" i="27"/>
  <c r="I12" i="30"/>
  <c r="W16" i="27"/>
  <c r="Z11" i="27"/>
  <c r="V12" i="27"/>
  <c r="I13" i="30"/>
  <c r="Z12" i="27"/>
  <c r="V13" i="27"/>
  <c r="Z13" i="27"/>
  <c r="V14" i="27"/>
  <c r="V15" i="27"/>
  <c r="Z14" i="27"/>
  <c r="V16" i="27"/>
  <c r="Z15" i="27"/>
  <c r="Z16" i="27"/>
  <c r="H4" i="30"/>
  <c r="H5" i="30"/>
  <c r="H6" i="30"/>
  <c r="H8" i="30"/>
  <c r="H7" i="30"/>
  <c r="H9" i="30"/>
  <c r="H10" i="30"/>
  <c r="H11" i="30"/>
  <c r="H12" i="30"/>
  <c r="H13" i="30"/>
</calcChain>
</file>

<file path=xl/sharedStrings.xml><?xml version="1.0" encoding="utf-8"?>
<sst xmlns="http://schemas.openxmlformats.org/spreadsheetml/2006/main" count="69" uniqueCount="55">
  <si>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</si>
  <si>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</si>
  <si>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</si>
  <si>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</si>
  <si>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</si>
  <si>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</si>
  <si>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</si>
  <si>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</si>
  <si>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</si>
  <si>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</si>
  <si>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</si>
  <si>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</si>
  <si>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</si>
  <si>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</si>
  <si>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</si>
  <si>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</si>
  <si>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</si>
  <si>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</si>
  <si>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</si>
  <si>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</si>
  <si>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</si>
  <si>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</si>
  <si>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</si>
  <si>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</si>
  <si>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</si>
  <si>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</si>
  <si>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</si>
  <si>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</si>
  <si>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</si>
  <si>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</si>
  <si>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</si>
  <si>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</si>
  <si>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</si>
  <si>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</si>
  <si>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</si>
  <si>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</si>
  <si>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</si>
  <si>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</si>
  <si>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</si>
  <si>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</si>
  <si>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</si>
  <si>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</si>
  <si>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</si>
  <si>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</si>
  <si>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</si>
  <si>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</si>
  <si>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</si>
  <si>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</si>
  <si>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Green</t>
  </si>
  <si>
    <t>for plot</t>
  </si>
  <si>
    <t>End P
(MPa)</t>
  </si>
  <si>
    <t>UT-GOM2-1-H005-2FB-1 / 035-030</t>
  </si>
  <si>
    <t>Cu tube 68</t>
  </si>
  <si>
    <t>UT-GOM2-1-H005-2FB-1</t>
  </si>
  <si>
    <t>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</si>
</sst>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8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'UT-GOM2-1-H005-2FB-1'!$Z$4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'UT-GOM2-1-H005-2FB-1'!$Z$6:$Z$16</c:f>
              <c:numCache>
                <c:formatCode>0.00</c:formatCode>
                <c:ptCount val="11"/>
                <c:pt idx="0">
                  <c:v>0.0</c:v>
                </c:pt>
                <c:pt idx="1">
                  <c:v>0.757582990299147</c:v>
                </c:pt>
                <c:pt idx="2">
                  <c:v>0.910185507878375</c:v>
                </c:pt>
                <c:pt idx="3">
                  <c:v>0.665187968193737</c:v>
                </c:pt>
                <c:pt idx="4">
                  <c:v>0.809058058628826</c:v>
                </c:pt>
                <c:pt idx="5">
                  <c:v>1.298982774835019</c:v>
                </c:pt>
                <c:pt idx="6">
                  <c:v>1.314607938359981</c:v>
                </c:pt>
                <c:pt idx="7">
                  <c:v>1.084593184092393</c:v>
                </c:pt>
                <c:pt idx="8">
                  <c:v>0.818754511033237</c:v>
                </c:pt>
                <c:pt idx="9">
                  <c:v>0.589563997041679</c:v>
                </c:pt>
                <c:pt idx="10">
                  <c:v>0.586982197185156</c:v>
                </c:pt>
              </c:numCache>
            </c:numRef>
          </c:xVal>
          <c:yVal>
            <c:numRef>
              <c:f>'UT-GOM2-1-H005-2FB-1'!$AB$6:$AB$16</c:f>
              <c:numCache>
                <c:formatCode>0.0</c:formatCode>
                <c:ptCount val="11"/>
                <c:pt idx="0">
                  <c:v>20.1</c:v>
                </c:pt>
                <c:pt idx="1">
                  <c:v>15.2</c:v>
                </c:pt>
                <c:pt idx="2">
                  <c:v>10.2</c:v>
                </c:pt>
                <c:pt idx="3">
                  <c:v>5.6</c:v>
                </c:pt>
                <c:pt idx="4">
                  <c:v>4.4</c:v>
                </c:pt>
                <c:pt idx="5">
                  <c:v>4.9</c:v>
                </c:pt>
                <c:pt idx="6">
                  <c:v>4.7</c:v>
                </c:pt>
                <c:pt idx="7">
                  <c:v>3.8</c:v>
                </c:pt>
                <c:pt idx="8">
                  <c:v>2.6</c:v>
                </c:pt>
                <c:pt idx="9">
                  <c:v>1.4</c:v>
                </c:pt>
                <c:pt idx="10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'UT-GOM2-1-H005-2FB-1'!$U$4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'UT-GOM2-1-H005-2FB-1'!$V$6:$V$16</c:f>
              <c:numCache>
                <c:formatCode>0.00</c:formatCode>
                <c:ptCount val="1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0.471084694881751</c:v>
                </c:pt>
              </c:numCache>
            </c:numRef>
          </c:xVal>
          <c:yVal>
            <c:numRef>
              <c:f>'UT-GOM2-1-H005-2FB-1'!$AB$6:$AB$16</c:f>
              <c:numCache>
                <c:formatCode>0.0</c:formatCode>
                <c:ptCount val="11"/>
                <c:pt idx="0">
                  <c:v>20.1</c:v>
                </c:pt>
                <c:pt idx="1">
                  <c:v>15.2</c:v>
                </c:pt>
                <c:pt idx="2">
                  <c:v>10.2</c:v>
                </c:pt>
                <c:pt idx="3">
                  <c:v>5.6</c:v>
                </c:pt>
                <c:pt idx="4">
                  <c:v>4.4</c:v>
                </c:pt>
                <c:pt idx="5">
                  <c:v>4.9</c:v>
                </c:pt>
                <c:pt idx="6">
                  <c:v>4.7</c:v>
                </c:pt>
                <c:pt idx="7">
                  <c:v>3.8</c:v>
                </c:pt>
                <c:pt idx="8">
                  <c:v>2.6</c:v>
                </c:pt>
                <c:pt idx="9">
                  <c:v>1.4</c:v>
                </c:pt>
                <c:pt idx="10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'UT-GOM2-1-H005-2FB-1'!$W$4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'UT-GOM2-1-H005-2FB-1'!$Y$6:$Y$16</c:f>
              <c:numCache>
                <c:formatCode>0.00</c:formatCode>
                <c:ptCount val="11"/>
                <c:pt idx="0">
                  <c:v>0.0</c:v>
                </c:pt>
                <c:pt idx="1">
                  <c:v>0.757582990299147</c:v>
                </c:pt>
                <c:pt idx="2">
                  <c:v>0.910185507878375</c:v>
                </c:pt>
                <c:pt idx="3">
                  <c:v>0.665187968193737</c:v>
                </c:pt>
                <c:pt idx="4">
                  <c:v>0.809058058628826</c:v>
                </c:pt>
                <c:pt idx="5">
                  <c:v>1.298982774835019</c:v>
                </c:pt>
                <c:pt idx="6">
                  <c:v>1.314607938359981</c:v>
                </c:pt>
                <c:pt idx="7">
                  <c:v>1.084593184092393</c:v>
                </c:pt>
                <c:pt idx="8">
                  <c:v>0.818754511033237</c:v>
                </c:pt>
                <c:pt idx="9">
                  <c:v>0.589563997041679</c:v>
                </c:pt>
                <c:pt idx="10">
                  <c:v>0.115897502303405</c:v>
                </c:pt>
              </c:numCache>
            </c:numRef>
          </c:xVal>
          <c:yVal>
            <c:numRef>
              <c:f>'UT-GOM2-1-H005-2FB-1'!$AB$6:$AB$16</c:f>
              <c:numCache>
                <c:formatCode>0.0</c:formatCode>
                <c:ptCount val="11"/>
                <c:pt idx="0">
                  <c:v>20.1</c:v>
                </c:pt>
                <c:pt idx="1">
                  <c:v>15.2</c:v>
                </c:pt>
                <c:pt idx="2">
                  <c:v>10.2</c:v>
                </c:pt>
                <c:pt idx="3">
                  <c:v>5.6</c:v>
                </c:pt>
                <c:pt idx="4">
                  <c:v>4.4</c:v>
                </c:pt>
                <c:pt idx="5">
                  <c:v>4.9</c:v>
                </c:pt>
                <c:pt idx="6">
                  <c:v>4.7</c:v>
                </c:pt>
                <c:pt idx="7">
                  <c:v>3.8</c:v>
                </c:pt>
                <c:pt idx="8">
                  <c:v>2.6</c:v>
                </c:pt>
                <c:pt idx="9">
                  <c:v>1.4</c:v>
                </c:pt>
                <c:pt idx="1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092920"/>
        <c:axId val="-2063834952"/>
      </c:scatterChart>
      <c:valAx>
        <c:axId val="-2095092920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"/>
              <c:y val="0.9517440718157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63834952"/>
        <c:crosses val="autoZero"/>
        <c:crossBetween val="midCat"/>
        <c:minorUnit val="1.0"/>
      </c:valAx>
      <c:valAx>
        <c:axId val="-2063834952"/>
        <c:scaling>
          <c:orientation val="minMax"/>
          <c:max val="20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5465057818"/>
              <c:y val="0.40613533197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95092920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"/>
          <c:y val="0.144544546070461"/>
          <c:w val="0.312371794871795"/>
          <c:h val="0.105055894308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UT-GOM2-1-H005-2FB-1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6"/>
  <sheetViews>
    <sheetView zoomScale="75" zoomScaleNormal="75" zoomScalePageLayoutView="75" workbookViewId="0">
      <selection activeCell="M26" sqref="M26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89" t="s">
        <v>1</v>
      </c>
      <c r="B1" s="90"/>
      <c r="C1" s="90"/>
      <c r="D1" s="90"/>
      <c r="E1" s="90"/>
      <c r="F1" s="91">
        <v>41426</v>
      </c>
      <c r="G1" s="92"/>
      <c r="H1" s="93"/>
      <c r="I1" s="94" t="s">
        <v>11</v>
      </c>
      <c r="J1" s="90"/>
      <c r="K1" s="90"/>
      <c r="L1" s="92" t="s">
        <v>51</v>
      </c>
      <c r="M1" s="92"/>
      <c r="N1" s="93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84" t="s">
        <v>10</v>
      </c>
      <c r="B2" s="85"/>
      <c r="C2" s="85"/>
      <c r="D2" s="85"/>
      <c r="E2" s="85"/>
      <c r="F2" s="86">
        <v>1007</v>
      </c>
      <c r="G2" s="86"/>
      <c r="H2" s="87"/>
      <c r="I2" s="88" t="s">
        <v>4</v>
      </c>
      <c r="J2" s="85"/>
      <c r="K2" s="85"/>
      <c r="L2" s="86" t="s">
        <v>48</v>
      </c>
      <c r="M2" s="86"/>
      <c r="N2" s="67">
        <f>IF(L2="red",4025, IF(L2="green",4140,IF(L2="yellow",4122,IF(L2="blue",4059,0))))</f>
        <v>4140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2"/>
      <c r="Q3" s="79" t="s">
        <v>35</v>
      </c>
      <c r="R3" s="80"/>
      <c r="S3" s="81"/>
    </row>
    <row r="4" spans="1:28" ht="25" customHeight="1">
      <c r="A4" s="103" t="s">
        <v>17</v>
      </c>
      <c r="B4" s="95" t="s">
        <v>16</v>
      </c>
      <c r="C4" s="105" t="s">
        <v>28</v>
      </c>
      <c r="D4" s="97" t="s">
        <v>31</v>
      </c>
      <c r="E4" s="99"/>
      <c r="F4" s="97" t="s">
        <v>3</v>
      </c>
      <c r="G4" s="98"/>
      <c r="H4" s="56"/>
      <c r="I4" s="107" t="s">
        <v>2</v>
      </c>
      <c r="J4" s="107"/>
      <c r="K4" s="107"/>
      <c r="L4" s="108"/>
      <c r="M4" s="109" t="s">
        <v>26</v>
      </c>
      <c r="N4" s="111" t="s">
        <v>29</v>
      </c>
      <c r="O4" s="78" t="s">
        <v>34</v>
      </c>
      <c r="P4" s="77"/>
      <c r="Q4" s="47" t="s">
        <v>37</v>
      </c>
      <c r="R4" s="82" t="s">
        <v>36</v>
      </c>
      <c r="S4" s="83"/>
      <c r="T4" s="51" t="s">
        <v>38</v>
      </c>
      <c r="U4" s="76" t="s">
        <v>32</v>
      </c>
      <c r="V4" s="77"/>
      <c r="W4" s="73" t="s">
        <v>45</v>
      </c>
      <c r="X4" s="74"/>
      <c r="Y4" s="75"/>
      <c r="Z4" s="51" t="s">
        <v>33</v>
      </c>
      <c r="AB4" s="51" t="s">
        <v>49</v>
      </c>
    </row>
    <row r="5" spans="1:28" s="4" customFormat="1" ht="77.25" customHeight="1" thickBot="1">
      <c r="A5" s="104"/>
      <c r="B5" s="96"/>
      <c r="C5" s="106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110"/>
      <c r="N5" s="112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50</v>
      </c>
    </row>
    <row r="6" spans="1:28" s="34" customFormat="1" ht="20.25" customHeight="1">
      <c r="A6" s="23">
        <v>1</v>
      </c>
      <c r="B6" s="24">
        <v>41426</v>
      </c>
      <c r="C6" s="25">
        <v>0.81180555555555556</v>
      </c>
      <c r="D6" s="26">
        <v>201</v>
      </c>
      <c r="E6" s="27">
        <v>201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7.9</v>
      </c>
      <c r="M6" s="26"/>
      <c r="N6" s="33"/>
      <c r="O6" s="55">
        <v>0</v>
      </c>
      <c r="P6" s="55">
        <v>0</v>
      </c>
      <c r="Q6" s="61">
        <f t="shared" ref="Q6:Q16" si="0">F6*$F$2/1000*273/(273+L6)</f>
        <v>0</v>
      </c>
      <c r="R6" s="62">
        <f t="shared" ref="R6:R16" si="1">$N$2-K6</f>
        <v>4140</v>
      </c>
      <c r="S6" s="63">
        <f>IF(I6=J6,0,R6*(J6-I6))*273/(273+L6)</f>
        <v>0</v>
      </c>
      <c r="T6" s="71">
        <f t="shared" ref="T6:T14" si="2">T7</f>
        <v>89.9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20.100000000000001</v>
      </c>
    </row>
    <row r="7" spans="1:28" s="40" customFormat="1" ht="20.25" customHeight="1">
      <c r="A7" s="35">
        <f>A6+1</f>
        <v>2</v>
      </c>
      <c r="B7" s="24">
        <v>41426</v>
      </c>
      <c r="C7" s="25">
        <v>0.81180555555555556</v>
      </c>
      <c r="D7" s="26">
        <v>201</v>
      </c>
      <c r="E7" s="27">
        <v>152</v>
      </c>
      <c r="F7" s="36">
        <v>0</v>
      </c>
      <c r="G7" s="29">
        <v>8</v>
      </c>
      <c r="H7" s="37"/>
      <c r="I7" s="31">
        <v>1</v>
      </c>
      <c r="J7" s="31">
        <v>1</v>
      </c>
      <c r="K7" s="32">
        <v>0</v>
      </c>
      <c r="L7" s="27">
        <v>10.3</v>
      </c>
      <c r="M7" s="38"/>
      <c r="N7" s="39"/>
      <c r="O7" s="61">
        <f t="shared" ref="O7:O16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4140</v>
      </c>
      <c r="S7" s="63">
        <f t="shared" ref="S7:S16" si="4">IF(I7=J7,0,R7*(J7-I7))*273/(273+L7)</f>
        <v>0</v>
      </c>
      <c r="T7" s="71">
        <f t="shared" si="2"/>
        <v>89.9</v>
      </c>
      <c r="U7" s="61">
        <f>(S7+Q7)*T7/100</f>
        <v>0</v>
      </c>
      <c r="V7" s="64">
        <f t="shared" ref="V7:V9" si="5">V6+U7/1000</f>
        <v>0</v>
      </c>
      <c r="W7" s="64">
        <f>W6+(G7+K7)/1000</f>
        <v>8.0000000000000002E-3</v>
      </c>
      <c r="X7" s="72">
        <f>0.026*EXP(-0.016*E7)</f>
        <v>2.2843843067122793E-3</v>
      </c>
      <c r="Y7" s="64">
        <f>(W7-(X7-X6))*(E7+1)*1*273/(273+L7)*T7/100</f>
        <v>0.75758299029914722</v>
      </c>
      <c r="Z7" s="64">
        <f>V7+Y7</f>
        <v>0.75758299029914722</v>
      </c>
      <c r="AB7" s="70">
        <f t="shared" ref="AB7:AB16" si="6">E7/10</f>
        <v>15.2</v>
      </c>
    </row>
    <row r="8" spans="1:28" s="40" customFormat="1" ht="20.25" customHeight="1">
      <c r="A8" s="35">
        <f t="shared" ref="A8:A16" si="7">A7+1</f>
        <v>3</v>
      </c>
      <c r="B8" s="24">
        <v>41426</v>
      </c>
      <c r="C8" s="25">
        <v>0.81319444444444444</v>
      </c>
      <c r="D8" s="26">
        <v>152</v>
      </c>
      <c r="E8" s="27">
        <v>102</v>
      </c>
      <c r="F8" s="36">
        <v>0</v>
      </c>
      <c r="G8" s="29">
        <v>5</v>
      </c>
      <c r="H8" s="37"/>
      <c r="I8" s="31">
        <v>1</v>
      </c>
      <c r="J8" s="31">
        <v>1</v>
      </c>
      <c r="K8" s="32">
        <v>0</v>
      </c>
      <c r="L8" s="27">
        <v>10.3</v>
      </c>
      <c r="M8" s="38"/>
      <c r="N8" s="39"/>
      <c r="O8" s="61">
        <f t="shared" si="3"/>
        <v>2.000000006519258</v>
      </c>
      <c r="P8" s="64">
        <f t="shared" ref="P8:P16" si="8">P7+O8/60</f>
        <v>3.3333333441987634E-2</v>
      </c>
      <c r="Q8" s="61">
        <f t="shared" si="0"/>
        <v>0</v>
      </c>
      <c r="R8" s="62">
        <f t="shared" si="1"/>
        <v>4140</v>
      </c>
      <c r="S8" s="63">
        <f t="shared" si="4"/>
        <v>0</v>
      </c>
      <c r="T8" s="71">
        <f t="shared" si="2"/>
        <v>89.9</v>
      </c>
      <c r="U8" s="61">
        <f t="shared" ref="U8:U16" si="9">(S8+Q8)*T8/100</f>
        <v>0</v>
      </c>
      <c r="V8" s="64">
        <f t="shared" si="5"/>
        <v>0</v>
      </c>
      <c r="W8" s="64">
        <f t="shared" ref="W8:W16" si="10">W7+(G8+K8)/1000</f>
        <v>1.3000000000000001E-2</v>
      </c>
      <c r="X8" s="72">
        <f t="shared" ref="X8:X16" si="11">0.026*EXP(-0.016*E8)</f>
        <v>5.0839907709940672E-3</v>
      </c>
      <c r="Y8" s="64">
        <f t="shared" ref="Y8:Y16" si="12">(W8-(X8-X7))*(E8+1)*1*273/(273+L8)*T8/100</f>
        <v>0.91018550787837471</v>
      </c>
      <c r="Z8" s="64">
        <f t="shared" ref="Z8:Z16" si="13">V8+Y8</f>
        <v>0.91018550787837471</v>
      </c>
      <c r="AB8" s="70">
        <f t="shared" si="6"/>
        <v>10.199999999999999</v>
      </c>
    </row>
    <row r="9" spans="1:28" s="40" customFormat="1" ht="20.25" customHeight="1">
      <c r="A9" s="35">
        <f t="shared" si="7"/>
        <v>4</v>
      </c>
      <c r="B9" s="24">
        <v>41426</v>
      </c>
      <c r="C9" s="25">
        <v>0.81458333333333333</v>
      </c>
      <c r="D9" s="26">
        <v>103</v>
      </c>
      <c r="E9" s="27">
        <v>56</v>
      </c>
      <c r="F9" s="36">
        <v>0</v>
      </c>
      <c r="G9" s="29">
        <v>6</v>
      </c>
      <c r="H9" s="37"/>
      <c r="I9" s="31">
        <v>1</v>
      </c>
      <c r="J9" s="31">
        <v>1</v>
      </c>
      <c r="K9" s="32">
        <v>0</v>
      </c>
      <c r="L9" s="27">
        <v>10.3</v>
      </c>
      <c r="M9" s="38"/>
      <c r="N9" s="39"/>
      <c r="O9" s="61">
        <f t="shared" si="3"/>
        <v>1.9999999960418791</v>
      </c>
      <c r="P9" s="64">
        <f t="shared" si="8"/>
        <v>6.6666666709352285E-2</v>
      </c>
      <c r="Q9" s="61">
        <f t="shared" si="0"/>
        <v>0</v>
      </c>
      <c r="R9" s="62">
        <f t="shared" si="1"/>
        <v>4140</v>
      </c>
      <c r="S9" s="63">
        <f t="shared" si="4"/>
        <v>0</v>
      </c>
      <c r="T9" s="71">
        <f t="shared" si="2"/>
        <v>89.9</v>
      </c>
      <c r="U9" s="61">
        <f t="shared" si="9"/>
        <v>0</v>
      </c>
      <c r="V9" s="64">
        <f t="shared" si="5"/>
        <v>0</v>
      </c>
      <c r="W9" s="64">
        <f t="shared" si="10"/>
        <v>1.9000000000000003E-2</v>
      </c>
      <c r="X9" s="72">
        <f t="shared" si="11"/>
        <v>1.061317907722599E-2</v>
      </c>
      <c r="Y9" s="64">
        <f t="shared" si="12"/>
        <v>0.6651879681937376</v>
      </c>
      <c r="Z9" s="64">
        <f t="shared" si="13"/>
        <v>0.6651879681937376</v>
      </c>
      <c r="AB9" s="70">
        <f t="shared" si="6"/>
        <v>5.6</v>
      </c>
    </row>
    <row r="10" spans="1:28" s="40" customFormat="1" ht="20.25" customHeight="1">
      <c r="A10" s="35">
        <f t="shared" si="7"/>
        <v>5</v>
      </c>
      <c r="B10" s="24">
        <v>41426</v>
      </c>
      <c r="C10" s="25">
        <v>0.81527777777777777</v>
      </c>
      <c r="D10" s="26">
        <v>58</v>
      </c>
      <c r="E10" s="27">
        <v>44</v>
      </c>
      <c r="F10" s="36">
        <v>0</v>
      </c>
      <c r="G10" s="29">
        <v>4</v>
      </c>
      <c r="H10" s="37"/>
      <c r="I10" s="31">
        <v>1</v>
      </c>
      <c r="J10" s="31">
        <v>1</v>
      </c>
      <c r="K10" s="32">
        <v>0</v>
      </c>
      <c r="L10" s="27">
        <v>10.3</v>
      </c>
      <c r="M10" s="38"/>
      <c r="N10" s="39"/>
      <c r="O10" s="61">
        <f t="shared" si="3"/>
        <v>1.000000003259629</v>
      </c>
      <c r="P10" s="64">
        <f t="shared" si="8"/>
        <v>8.3333333430346102E-2</v>
      </c>
      <c r="Q10" s="61">
        <f t="shared" si="0"/>
        <v>0</v>
      </c>
      <c r="R10" s="62">
        <f t="shared" si="1"/>
        <v>4140</v>
      </c>
      <c r="S10" s="63">
        <f t="shared" si="4"/>
        <v>0</v>
      </c>
      <c r="T10" s="71">
        <f t="shared" si="2"/>
        <v>89.9</v>
      </c>
      <c r="U10" s="61">
        <f t="shared" si="9"/>
        <v>0</v>
      </c>
      <c r="V10" s="64">
        <f>V9+U10/1000</f>
        <v>0</v>
      </c>
      <c r="W10" s="64">
        <f t="shared" si="10"/>
        <v>2.3000000000000003E-2</v>
      </c>
      <c r="X10" s="72">
        <f t="shared" si="11"/>
        <v>1.2859676179143482E-2</v>
      </c>
      <c r="Y10" s="64">
        <f t="shared" si="12"/>
        <v>0.80905805862882585</v>
      </c>
      <c r="Z10" s="64">
        <f t="shared" si="13"/>
        <v>0.80905805862882585</v>
      </c>
      <c r="AB10" s="70">
        <f t="shared" si="6"/>
        <v>4.4000000000000004</v>
      </c>
    </row>
    <row r="11" spans="1:28" s="40" customFormat="1" ht="20.25" customHeight="1">
      <c r="A11" s="35">
        <f t="shared" si="7"/>
        <v>6</v>
      </c>
      <c r="B11" s="24">
        <v>41426</v>
      </c>
      <c r="C11" s="25">
        <v>0.83680555555555547</v>
      </c>
      <c r="D11" s="26">
        <v>58</v>
      </c>
      <c r="E11" s="27">
        <v>49</v>
      </c>
      <c r="F11" s="36">
        <v>0</v>
      </c>
      <c r="G11" s="29">
        <v>6</v>
      </c>
      <c r="H11" s="37"/>
      <c r="I11" s="31">
        <v>1</v>
      </c>
      <c r="J11" s="31">
        <v>1</v>
      </c>
      <c r="K11" s="32">
        <v>0</v>
      </c>
      <c r="L11" s="27">
        <v>10.3</v>
      </c>
      <c r="M11" s="38"/>
      <c r="N11" s="39"/>
      <c r="O11" s="61">
        <f t="shared" si="3"/>
        <v>30.99999999627471</v>
      </c>
      <c r="P11" s="64">
        <f t="shared" si="8"/>
        <v>0.6000000000349246</v>
      </c>
      <c r="Q11" s="61">
        <f t="shared" si="0"/>
        <v>0</v>
      </c>
      <c r="R11" s="62">
        <f t="shared" si="1"/>
        <v>4140</v>
      </c>
      <c r="S11" s="63">
        <f t="shared" si="4"/>
        <v>0</v>
      </c>
      <c r="T11" s="71">
        <f t="shared" si="2"/>
        <v>89.9</v>
      </c>
      <c r="U11" s="61">
        <f t="shared" si="9"/>
        <v>0</v>
      </c>
      <c r="V11" s="64">
        <f t="shared" ref="V11:V16" si="14">V10+U11/1000</f>
        <v>0</v>
      </c>
      <c r="W11" s="64">
        <f t="shared" si="10"/>
        <v>2.9000000000000005E-2</v>
      </c>
      <c r="X11" s="72">
        <f t="shared" si="11"/>
        <v>1.1870977290206182E-2</v>
      </c>
      <c r="Y11" s="64">
        <f t="shared" si="12"/>
        <v>1.2989827748350189</v>
      </c>
      <c r="Z11" s="64">
        <f t="shared" si="13"/>
        <v>1.2989827748350189</v>
      </c>
      <c r="AB11" s="70">
        <f t="shared" si="6"/>
        <v>4.9000000000000004</v>
      </c>
    </row>
    <row r="12" spans="1:28" s="40" customFormat="1" ht="20.25" customHeight="1">
      <c r="A12" s="35">
        <f t="shared" si="7"/>
        <v>7</v>
      </c>
      <c r="B12" s="24">
        <v>41426</v>
      </c>
      <c r="C12" s="25">
        <v>0.85625000000000007</v>
      </c>
      <c r="D12" s="26">
        <v>54</v>
      </c>
      <c r="E12" s="27">
        <v>47</v>
      </c>
      <c r="F12" s="36">
        <v>0</v>
      </c>
      <c r="G12" s="29">
        <v>3</v>
      </c>
      <c r="H12" s="37"/>
      <c r="I12" s="31">
        <v>1</v>
      </c>
      <c r="J12" s="31">
        <v>1</v>
      </c>
      <c r="K12" s="32">
        <v>0</v>
      </c>
      <c r="L12" s="27">
        <v>10.3</v>
      </c>
      <c r="M12" s="38"/>
      <c r="N12" s="39"/>
      <c r="O12" s="61">
        <f t="shared" si="3"/>
        <v>27.999999996973202</v>
      </c>
      <c r="P12" s="64">
        <f t="shared" si="8"/>
        <v>1.0666666666511446</v>
      </c>
      <c r="Q12" s="61">
        <f t="shared" si="0"/>
        <v>0</v>
      </c>
      <c r="R12" s="62">
        <f t="shared" si="1"/>
        <v>4140</v>
      </c>
      <c r="S12" s="63">
        <f t="shared" si="4"/>
        <v>0</v>
      </c>
      <c r="T12" s="71">
        <f t="shared" si="2"/>
        <v>89.9</v>
      </c>
      <c r="U12" s="61">
        <f t="shared" si="9"/>
        <v>0</v>
      </c>
      <c r="V12" s="64">
        <f t="shared" si="14"/>
        <v>0</v>
      </c>
      <c r="W12" s="64">
        <f t="shared" si="10"/>
        <v>3.2000000000000008E-2</v>
      </c>
      <c r="X12" s="72">
        <f t="shared" si="11"/>
        <v>1.2256991857217403E-2</v>
      </c>
      <c r="Y12" s="64">
        <f t="shared" si="12"/>
        <v>1.3146079383599811</v>
      </c>
      <c r="Z12" s="64">
        <f t="shared" si="13"/>
        <v>1.3146079383599811</v>
      </c>
      <c r="AB12" s="70">
        <f t="shared" si="6"/>
        <v>4.7</v>
      </c>
    </row>
    <row r="13" spans="1:28" s="40" customFormat="1" ht="20.25" customHeight="1">
      <c r="A13" s="35">
        <f t="shared" si="7"/>
        <v>8</v>
      </c>
      <c r="B13" s="24">
        <v>41426</v>
      </c>
      <c r="C13" s="25">
        <v>0.87291666666666667</v>
      </c>
      <c r="D13" s="26">
        <v>49</v>
      </c>
      <c r="E13" s="27">
        <v>38</v>
      </c>
      <c r="F13" s="36">
        <v>0</v>
      </c>
      <c r="G13" s="29">
        <v>2</v>
      </c>
      <c r="H13" s="37"/>
      <c r="I13" s="31">
        <v>1</v>
      </c>
      <c r="J13" s="31">
        <v>1</v>
      </c>
      <c r="K13" s="32">
        <v>0</v>
      </c>
      <c r="L13" s="27">
        <v>10.3</v>
      </c>
      <c r="M13" s="38"/>
      <c r="N13" s="39"/>
      <c r="O13" s="61">
        <f t="shared" si="3"/>
        <v>24.000000004889444</v>
      </c>
      <c r="P13" s="64">
        <f t="shared" si="8"/>
        <v>1.4666666667326353</v>
      </c>
      <c r="Q13" s="61">
        <f t="shared" si="0"/>
        <v>0</v>
      </c>
      <c r="R13" s="62">
        <f t="shared" si="1"/>
        <v>4140</v>
      </c>
      <c r="S13" s="63">
        <f t="shared" si="4"/>
        <v>0</v>
      </c>
      <c r="T13" s="71">
        <f t="shared" si="2"/>
        <v>89.9</v>
      </c>
      <c r="U13" s="61">
        <f t="shared" si="9"/>
        <v>0</v>
      </c>
      <c r="V13" s="64">
        <f t="shared" si="14"/>
        <v>0</v>
      </c>
      <c r="W13" s="64">
        <f t="shared" si="10"/>
        <v>3.4000000000000009E-2</v>
      </c>
      <c r="X13" s="72">
        <f t="shared" si="11"/>
        <v>1.4155405114219644E-2</v>
      </c>
      <c r="Y13" s="64">
        <f t="shared" si="12"/>
        <v>1.0845931840923926</v>
      </c>
      <c r="Z13" s="64">
        <f t="shared" si="13"/>
        <v>1.0845931840923926</v>
      </c>
      <c r="AB13" s="70">
        <f t="shared" si="6"/>
        <v>3.8</v>
      </c>
    </row>
    <row r="14" spans="1:28" s="40" customFormat="1" ht="20.25" customHeight="1">
      <c r="A14" s="35">
        <f t="shared" si="7"/>
        <v>9</v>
      </c>
      <c r="B14" s="24">
        <v>41426</v>
      </c>
      <c r="C14" s="25">
        <v>0.88888888888888884</v>
      </c>
      <c r="D14" s="26">
        <v>39</v>
      </c>
      <c r="E14" s="27">
        <v>26</v>
      </c>
      <c r="F14" s="36">
        <v>0</v>
      </c>
      <c r="G14" s="29">
        <v>4</v>
      </c>
      <c r="H14" s="37"/>
      <c r="I14" s="31">
        <v>1</v>
      </c>
      <c r="J14" s="31">
        <v>1</v>
      </c>
      <c r="K14" s="32">
        <v>0</v>
      </c>
      <c r="L14" s="27">
        <v>10.3</v>
      </c>
      <c r="M14" s="38"/>
      <c r="N14" s="39"/>
      <c r="O14" s="61">
        <f t="shared" si="3"/>
        <v>23.000000001629815</v>
      </c>
      <c r="P14" s="64">
        <f t="shared" si="8"/>
        <v>1.8500000000931323</v>
      </c>
      <c r="Q14" s="61">
        <f t="shared" si="0"/>
        <v>0</v>
      </c>
      <c r="R14" s="62">
        <f t="shared" si="1"/>
        <v>4140</v>
      </c>
      <c r="S14" s="63">
        <f t="shared" si="4"/>
        <v>0</v>
      </c>
      <c r="T14" s="71">
        <f t="shared" si="2"/>
        <v>89.9</v>
      </c>
      <c r="U14" s="61">
        <f t="shared" si="9"/>
        <v>0</v>
      </c>
      <c r="V14" s="64">
        <f t="shared" si="14"/>
        <v>0</v>
      </c>
      <c r="W14" s="64">
        <f t="shared" si="10"/>
        <v>3.8000000000000006E-2</v>
      </c>
      <c r="X14" s="72">
        <f t="shared" si="11"/>
        <v>1.7151687032594114E-2</v>
      </c>
      <c r="Y14" s="64">
        <f t="shared" si="12"/>
        <v>0.81875451103323682</v>
      </c>
      <c r="Z14" s="64">
        <f t="shared" si="13"/>
        <v>0.81875451103323682</v>
      </c>
      <c r="AB14" s="70">
        <f t="shared" si="6"/>
        <v>2.6</v>
      </c>
    </row>
    <row r="15" spans="1:28" s="40" customFormat="1" ht="20.25" customHeight="1">
      <c r="A15" s="35">
        <f t="shared" si="7"/>
        <v>10</v>
      </c>
      <c r="B15" s="24">
        <v>41426</v>
      </c>
      <c r="C15" s="25">
        <v>0.90486111111111101</v>
      </c>
      <c r="D15" s="26">
        <v>27</v>
      </c>
      <c r="E15" s="27">
        <v>14</v>
      </c>
      <c r="F15" s="36">
        <v>0</v>
      </c>
      <c r="G15" s="29">
        <v>11</v>
      </c>
      <c r="H15" s="37"/>
      <c r="I15" s="31">
        <v>1</v>
      </c>
      <c r="J15" s="31">
        <v>1</v>
      </c>
      <c r="K15" s="32">
        <v>0</v>
      </c>
      <c r="L15" s="27">
        <v>10.3</v>
      </c>
      <c r="M15" s="38"/>
      <c r="N15" s="39"/>
      <c r="O15" s="61">
        <f t="shared" si="3"/>
        <v>23.000000001629815</v>
      </c>
      <c r="P15" s="64">
        <f t="shared" si="8"/>
        <v>2.2333333334536292</v>
      </c>
      <c r="Q15" s="61">
        <f t="shared" si="0"/>
        <v>0</v>
      </c>
      <c r="R15" s="62">
        <f t="shared" si="1"/>
        <v>4140</v>
      </c>
      <c r="S15" s="63">
        <f t="shared" si="4"/>
        <v>0</v>
      </c>
      <c r="T15" s="71">
        <f>T16</f>
        <v>89.9</v>
      </c>
      <c r="U15" s="61">
        <f t="shared" si="9"/>
        <v>0</v>
      </c>
      <c r="V15" s="64">
        <f t="shared" si="14"/>
        <v>0</v>
      </c>
      <c r="W15" s="64">
        <f t="shared" si="10"/>
        <v>4.9000000000000002E-2</v>
      </c>
      <c r="X15" s="72">
        <f t="shared" si="11"/>
        <v>2.0782193493603492E-2</v>
      </c>
      <c r="Y15" s="64">
        <f t="shared" si="12"/>
        <v>0.58956399704167939</v>
      </c>
      <c r="Z15" s="64">
        <f t="shared" si="13"/>
        <v>0.58956399704167939</v>
      </c>
      <c r="AB15" s="70">
        <f t="shared" si="6"/>
        <v>1.4</v>
      </c>
    </row>
    <row r="16" spans="1:28" s="40" customFormat="1" ht="20.25" customHeight="1">
      <c r="A16" s="35">
        <f t="shared" si="7"/>
        <v>11</v>
      </c>
      <c r="B16" s="24">
        <v>41426</v>
      </c>
      <c r="C16" s="25">
        <v>0.92152777777777783</v>
      </c>
      <c r="D16" s="26">
        <v>15</v>
      </c>
      <c r="E16" s="27">
        <v>0</v>
      </c>
      <c r="F16" s="36">
        <v>540</v>
      </c>
      <c r="G16" s="29">
        <v>90</v>
      </c>
      <c r="H16" s="37"/>
      <c r="I16" s="31">
        <v>1</v>
      </c>
      <c r="J16" s="31">
        <v>1</v>
      </c>
      <c r="K16" s="32">
        <v>0</v>
      </c>
      <c r="L16" s="27">
        <v>10.3</v>
      </c>
      <c r="M16" s="38" t="s">
        <v>54</v>
      </c>
      <c r="N16" s="39" t="s">
        <v>52</v>
      </c>
      <c r="O16" s="61">
        <f t="shared" si="3"/>
        <v>23.999999994412065</v>
      </c>
      <c r="P16" s="64">
        <f t="shared" si="8"/>
        <v>2.6333333333604969</v>
      </c>
      <c r="Q16" s="61">
        <f t="shared" si="0"/>
        <v>524.00967172608546</v>
      </c>
      <c r="R16" s="62">
        <f t="shared" si="1"/>
        <v>4140</v>
      </c>
      <c r="S16" s="63">
        <f t="shared" si="4"/>
        <v>0</v>
      </c>
      <c r="T16" s="71">
        <v>89.9</v>
      </c>
      <c r="U16" s="61">
        <f t="shared" si="9"/>
        <v>471.08469488175086</v>
      </c>
      <c r="V16" s="64">
        <f t="shared" si="14"/>
        <v>0.47108469488175087</v>
      </c>
      <c r="W16" s="64">
        <f t="shared" si="10"/>
        <v>0.13900000000000001</v>
      </c>
      <c r="X16" s="72">
        <f t="shared" si="11"/>
        <v>2.5999999999999999E-2</v>
      </c>
      <c r="Y16" s="64">
        <f t="shared" si="12"/>
        <v>0.11589750230340495</v>
      </c>
      <c r="Z16" s="64">
        <f t="shared" si="13"/>
        <v>0.58698219718515587</v>
      </c>
      <c r="AB16" s="70">
        <f t="shared" si="6"/>
        <v>0</v>
      </c>
    </row>
  </sheetData>
  <mergeCells count="22">
    <mergeCell ref="B4:B5"/>
    <mergeCell ref="F4:G4"/>
    <mergeCell ref="D4:E4"/>
    <mergeCell ref="A3:N3"/>
    <mergeCell ref="A4:A5"/>
    <mergeCell ref="C4:C5"/>
    <mergeCell ref="I4:L4"/>
    <mergeCell ref="M4:M5"/>
    <mergeCell ref="N4:N5"/>
    <mergeCell ref="A2:E2"/>
    <mergeCell ref="F2:H2"/>
    <mergeCell ref="I2:K2"/>
    <mergeCell ref="L2:M2"/>
    <mergeCell ref="A1:E1"/>
    <mergeCell ref="F1:H1"/>
    <mergeCell ref="I1:K1"/>
    <mergeCell ref="L1:N1"/>
    <mergeCell ref="W4:Y4"/>
    <mergeCell ref="U4:V4"/>
    <mergeCell ref="O4:P4"/>
    <mergeCell ref="Q3:S3"/>
    <mergeCell ref="R4:S4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14"/>
  <sheetViews>
    <sheetView workbookViewId="0">
      <selection activeCell="D51" sqref="D51:D52"/>
    </sheetView>
  </sheetViews>
  <sheetFormatPr baseColWidth="10" defaultColWidth="10.7109375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3" t="str">
        <f>CONCATENATE(M1," Depressurization Table")</f>
        <v>UT-GOM2-1-H005-2FB-1 Depressurization Table</v>
      </c>
      <c r="B1" s="113"/>
      <c r="C1" s="113"/>
      <c r="D1" s="113"/>
      <c r="E1" s="113"/>
      <c r="F1" s="113"/>
      <c r="G1" s="113"/>
      <c r="H1" s="113"/>
      <c r="I1" s="113"/>
      <c r="M1" s="22" t="s">
        <v>53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14" ca="1" si="0">INDIRECT(CONCATENATE("'",$M$1,"'!A",ROW()+2))</f>
        <v>1</v>
      </c>
      <c r="B4" s="18">
        <f t="shared" ref="B4:B14" ca="1" si="1">INDIRECT(CONCATENATE("'",$M$1,"'!D",ROW()+2))/10</f>
        <v>20.100000000000001</v>
      </c>
      <c r="C4" s="18">
        <f t="shared" ref="C4:C14" ca="1" si="2">INDIRECT(CONCATENATE("'",$M$1,"'!E",ROW()+2))/10</f>
        <v>20.100000000000001</v>
      </c>
      <c r="D4" s="19">
        <f ca="1">(INDIRECT(CONCATENATE("'",$M$1,"'!R",ROW()+2))+INDIRECT(CONCATENATE("'",$M$1,"'!T",ROW()+2)))/1000</f>
        <v>4.2298999999999998</v>
      </c>
      <c r="E4" s="18">
        <f ca="1">INDIRECT(CONCATENATE("'",$M$1,"'!t",ROW()+2))</f>
        <v>89.9</v>
      </c>
      <c r="F4" s="68" t="str">
        <f ca="1">IF(INDIRECT(CONCATENATE("'",$M$1,"'!m",ROW()+2))="","",INDIRECT(CONCATENATE("'",$M$1,"'!m",ROW()+2)))</f>
        <v/>
      </c>
      <c r="G4" s="19">
        <f t="shared" ref="G4:G14" ca="1" si="3">INDIRECT(CONCATENATE("'",$M$1,"'!x",ROW()+2))</f>
        <v>0</v>
      </c>
      <c r="H4" s="20">
        <f ca="1">D4/MAX(D4:D13)</f>
        <v>9.9999999999999992E-2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20.100000000000001</v>
      </c>
      <c r="C5" s="18">
        <f t="shared" ca="1" si="2"/>
        <v>15.2</v>
      </c>
      <c r="D5" s="19">
        <f t="shared" ref="D5:D14" ca="1" si="4">D4+(INDIRECT(CONCATENATE("'",$M$1,"'!R",ROW()+2))+INDIRECT(CONCATENATE("'",$M$1,"'!T",ROW()+2)))/1000</f>
        <v>8.4597999999999995</v>
      </c>
      <c r="E5" s="18">
        <f t="shared" ref="E5:E14" ca="1" si="5">INDIRECT(CONCATENATE("'",$M$1,"'!t",ROW()+2))</f>
        <v>89.9</v>
      </c>
      <c r="F5" s="68" t="str">
        <f t="shared" ref="F5:F14" ca="1" si="6">IF(INDIRECT(CONCATENATE("'",$M$1,"'!m",ROW()+2))="","",INDIRECT(CONCATENATE("'",$M$1,"'!m",ROW()+2)))</f>
        <v/>
      </c>
      <c r="G5" s="19">
        <f t="shared" ca="1" si="3"/>
        <v>2.2843843067122793E-3</v>
      </c>
      <c r="H5" s="20">
        <f ca="1">D5/MAX(D5:D13)</f>
        <v>0.19999999999999998</v>
      </c>
      <c r="I5" s="19">
        <f t="shared" ref="I5:I14" ca="1" si="7">INDIRECT(CONCATENATE("'",$M$1,"'!y",ROW()+2))</f>
        <v>0.75758299029914722</v>
      </c>
      <c r="J5" s="21"/>
    </row>
    <row r="6" spans="1:21">
      <c r="A6" s="17">
        <f t="shared" ca="1" si="0"/>
        <v>3</v>
      </c>
      <c r="B6" s="18">
        <f t="shared" ca="1" si="1"/>
        <v>15.2</v>
      </c>
      <c r="C6" s="18">
        <f t="shared" ca="1" si="2"/>
        <v>10.199999999999999</v>
      </c>
      <c r="D6" s="19">
        <f t="shared" ca="1" si="4"/>
        <v>12.689699999999998</v>
      </c>
      <c r="E6" s="18">
        <f t="shared" ca="1" si="5"/>
        <v>89.9</v>
      </c>
      <c r="F6" s="68" t="str">
        <f t="shared" ca="1" si="6"/>
        <v/>
      </c>
      <c r="G6" s="19">
        <f t="shared" ca="1" si="3"/>
        <v>5.0839907709940672E-3</v>
      </c>
      <c r="H6" s="20">
        <f ca="1">D6/MAX(D6:D13)</f>
        <v>0.3</v>
      </c>
      <c r="I6" s="19">
        <f t="shared" ca="1" si="7"/>
        <v>0.91018550787837471</v>
      </c>
      <c r="J6" s="21"/>
    </row>
    <row r="7" spans="1:21">
      <c r="A7" s="17">
        <f t="shared" ca="1" si="0"/>
        <v>4</v>
      </c>
      <c r="B7" s="18">
        <f t="shared" ca="1" si="1"/>
        <v>10.3</v>
      </c>
      <c r="C7" s="18">
        <f t="shared" ca="1" si="2"/>
        <v>5.6</v>
      </c>
      <c r="D7" s="19">
        <f t="shared" ca="1" si="4"/>
        <v>16.919599999999999</v>
      </c>
      <c r="E7" s="18">
        <f t="shared" ca="1" si="5"/>
        <v>89.9</v>
      </c>
      <c r="F7" s="68" t="str">
        <f t="shared" ca="1" si="6"/>
        <v/>
      </c>
      <c r="G7" s="19">
        <f t="shared" ca="1" si="3"/>
        <v>1.061317907722599E-2</v>
      </c>
      <c r="H7" s="20">
        <f ca="1">D7/MAX(D7:D13)</f>
        <v>0.39999999999999997</v>
      </c>
      <c r="I7" s="19">
        <f t="shared" ca="1" si="7"/>
        <v>0.6651879681937376</v>
      </c>
      <c r="J7" s="21"/>
    </row>
    <row r="8" spans="1:21">
      <c r="A8" s="17">
        <f t="shared" ca="1" si="0"/>
        <v>5</v>
      </c>
      <c r="B8" s="18">
        <f t="shared" ca="1" si="1"/>
        <v>5.8</v>
      </c>
      <c r="C8" s="18">
        <f t="shared" ca="1" si="2"/>
        <v>4.4000000000000004</v>
      </c>
      <c r="D8" s="19">
        <f t="shared" ca="1" si="4"/>
        <v>21.1495</v>
      </c>
      <c r="E8" s="18">
        <f t="shared" ca="1" si="5"/>
        <v>89.9</v>
      </c>
      <c r="F8" s="68" t="str">
        <f t="shared" ca="1" si="6"/>
        <v/>
      </c>
      <c r="G8" s="19">
        <f t="shared" ca="1" si="3"/>
        <v>1.2859676179143482E-2</v>
      </c>
      <c r="H8" s="20">
        <f ca="1">D8/MAX(D8:D13)</f>
        <v>0.5</v>
      </c>
      <c r="I8" s="19">
        <f t="shared" ca="1" si="7"/>
        <v>0.80905805862882585</v>
      </c>
      <c r="J8" s="21"/>
    </row>
    <row r="9" spans="1:21">
      <c r="A9" s="17">
        <f t="shared" ca="1" si="0"/>
        <v>6</v>
      </c>
      <c r="B9" s="18">
        <f t="shared" ca="1" si="1"/>
        <v>5.8</v>
      </c>
      <c r="C9" s="18">
        <f t="shared" ca="1" si="2"/>
        <v>4.9000000000000004</v>
      </c>
      <c r="D9" s="19">
        <f t="shared" ca="1" si="4"/>
        <v>25.3794</v>
      </c>
      <c r="E9" s="18">
        <f t="shared" ca="1" si="5"/>
        <v>89.9</v>
      </c>
      <c r="F9" s="68" t="str">
        <f t="shared" ca="1" si="6"/>
        <v/>
      </c>
      <c r="G9" s="19">
        <f t="shared" ca="1" si="3"/>
        <v>1.1870977290206182E-2</v>
      </c>
      <c r="H9" s="20">
        <f ca="1">D9/MAX(D9:D13)</f>
        <v>0.6</v>
      </c>
      <c r="I9" s="19">
        <f t="shared" ca="1" si="7"/>
        <v>1.2989827748350189</v>
      </c>
      <c r="J9" s="21"/>
    </row>
    <row r="10" spans="1:21">
      <c r="A10" s="17">
        <f t="shared" ca="1" si="0"/>
        <v>7</v>
      </c>
      <c r="B10" s="18">
        <f t="shared" ca="1" si="1"/>
        <v>5.4</v>
      </c>
      <c r="C10" s="18">
        <f t="shared" ca="1" si="2"/>
        <v>4.7</v>
      </c>
      <c r="D10" s="19">
        <f t="shared" ca="1" si="4"/>
        <v>29.609300000000001</v>
      </c>
      <c r="E10" s="18">
        <f t="shared" ca="1" si="5"/>
        <v>89.9</v>
      </c>
      <c r="F10" s="68" t="str">
        <f t="shared" ca="1" si="6"/>
        <v/>
      </c>
      <c r="G10" s="19">
        <f t="shared" ca="1" si="3"/>
        <v>1.2256991857217403E-2</v>
      </c>
      <c r="H10" s="20">
        <f ca="1">D10/MAX(D10:D13)</f>
        <v>0.70000000000000007</v>
      </c>
      <c r="I10" s="19">
        <f t="shared" ca="1" si="7"/>
        <v>1.3146079383599811</v>
      </c>
      <c r="J10" s="21"/>
    </row>
    <row r="11" spans="1:21">
      <c r="A11" s="17">
        <f t="shared" ca="1" si="0"/>
        <v>8</v>
      </c>
      <c r="B11" s="18">
        <f t="shared" ca="1" si="1"/>
        <v>4.9000000000000004</v>
      </c>
      <c r="C11" s="18">
        <f t="shared" ca="1" si="2"/>
        <v>3.8</v>
      </c>
      <c r="D11" s="19">
        <f t="shared" ca="1" si="4"/>
        <v>33.839199999999998</v>
      </c>
      <c r="E11" s="18">
        <f t="shared" ca="1" si="5"/>
        <v>89.9</v>
      </c>
      <c r="F11" s="68" t="str">
        <f t="shared" ca="1" si="6"/>
        <v/>
      </c>
      <c r="G11" s="19">
        <f t="shared" ca="1" si="3"/>
        <v>1.4155405114219644E-2</v>
      </c>
      <c r="H11" s="20">
        <f ca="1">D11/MAX(D11:D13)</f>
        <v>0.79999999999999993</v>
      </c>
      <c r="I11" s="19">
        <f t="shared" ca="1" si="7"/>
        <v>1.0845931840923926</v>
      </c>
      <c r="J11" s="21"/>
    </row>
    <row r="12" spans="1:21">
      <c r="A12" s="17">
        <f t="shared" ca="1" si="0"/>
        <v>9</v>
      </c>
      <c r="B12" s="18">
        <f t="shared" ca="1" si="1"/>
        <v>3.9</v>
      </c>
      <c r="C12" s="18">
        <f t="shared" ca="1" si="2"/>
        <v>2.6</v>
      </c>
      <c r="D12" s="19">
        <f t="shared" ca="1" si="4"/>
        <v>38.069099999999999</v>
      </c>
      <c r="E12" s="18">
        <f t="shared" ca="1" si="5"/>
        <v>89.9</v>
      </c>
      <c r="F12" s="68" t="str">
        <f t="shared" ca="1" si="6"/>
        <v/>
      </c>
      <c r="G12" s="19">
        <f t="shared" ca="1" si="3"/>
        <v>1.7151687032594114E-2</v>
      </c>
      <c r="H12" s="20">
        <f ca="1">D12/MAX(D12:D13)</f>
        <v>0.9</v>
      </c>
      <c r="I12" s="19">
        <f t="shared" ca="1" si="7"/>
        <v>0.81875451103323682</v>
      </c>
      <c r="J12" s="21"/>
    </row>
    <row r="13" spans="1:21">
      <c r="A13" s="17">
        <f t="shared" ca="1" si="0"/>
        <v>10</v>
      </c>
      <c r="B13" s="18">
        <f t="shared" ca="1" si="1"/>
        <v>2.7</v>
      </c>
      <c r="C13" s="18">
        <f t="shared" ca="1" si="2"/>
        <v>1.4</v>
      </c>
      <c r="D13" s="19">
        <f t="shared" ca="1" si="4"/>
        <v>42.298999999999999</v>
      </c>
      <c r="E13" s="18">
        <f t="shared" ca="1" si="5"/>
        <v>89.9</v>
      </c>
      <c r="F13" s="68" t="str">
        <f t="shared" ca="1" si="6"/>
        <v/>
      </c>
      <c r="G13" s="19">
        <f t="shared" ca="1" si="3"/>
        <v>2.0782193493603492E-2</v>
      </c>
      <c r="H13" s="20">
        <f ca="1">D13/MAX(D13:D13)</f>
        <v>1</v>
      </c>
      <c r="I13" s="19">
        <f t="shared" ca="1" si="7"/>
        <v>0.58956399704167939</v>
      </c>
      <c r="J13" s="21"/>
    </row>
    <row r="14" spans="1:21">
      <c r="A14" s="17">
        <f t="shared" ca="1" si="0"/>
        <v>11</v>
      </c>
      <c r="B14" s="18">
        <f t="shared" ca="1" si="1"/>
        <v>1.5</v>
      </c>
      <c r="C14" s="18">
        <f t="shared" ca="1" si="2"/>
        <v>0</v>
      </c>
      <c r="D14" s="19">
        <f t="shared" ca="1" si="4"/>
        <v>46.5289</v>
      </c>
      <c r="E14" s="18">
        <f t="shared" ca="1" si="5"/>
        <v>89.9</v>
      </c>
      <c r="F14" s="68" t="str">
        <f t="shared" ca="1" si="6"/>
        <v>1G</v>
      </c>
      <c r="G14" s="19">
        <f t="shared" ca="1" si="3"/>
        <v>2.5999999999999999E-2</v>
      </c>
      <c r="H14" s="20">
        <f ca="1">D14/MAX(D14:D14)</f>
        <v>1</v>
      </c>
      <c r="I14" s="19">
        <f t="shared" ca="1" si="7"/>
        <v>0.11589750230340495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O19" sqref="O19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37A5D8BB-D5E0-4110-9487-1CB593234EC8}"/>
</file>

<file path=customXml/itemProps2.xml><?xml version="1.0" encoding="utf-8"?>
<ds:datastoreItem xmlns:ds="http://schemas.openxmlformats.org/officeDocument/2006/customXml" ds:itemID="{25183E0C-0371-4C4C-9CA4-74FDA0C4F423}"/>
</file>

<file path=customXml/itemProps3.xml><?xml version="1.0" encoding="utf-8"?>
<ds:datastoreItem xmlns:ds="http://schemas.openxmlformats.org/officeDocument/2006/customXml" ds:itemID="{72F5F1C4-FC36-4841-86F0-06427EC6C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UT-GOM2-1-H005-2FB-1</vt:lpstr>
      <vt:lpstr>UT-GOM2-1-H005-2FB-1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