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430"/>
  <workbookPr date1904="1" showInkAnnotation="0" codeName="ThisWorkbook" autoCompressPictures="0"/>
  <bookViews>
    <workbookView xWindow="9820" yWindow="1580" windowWidth="26660" windowHeight="16480" tabRatio="623" activeTab="2"/>
  </bookViews>
  <sheets>
    <sheet name="UT-GOM2-1-H005-1FB-3" sheetId="27" r:id="rId1"/>
    <sheet name="UT-GOM2-1-H005-1FB-3 table" sheetId="30" r:id="rId2"/>
    <sheet name="graph" sheetId="31" r:id="rId3"/>
  </sheets>
  <definedNames>
    <definedName name="_xlnm.Print_Area" localSheetId="0">'UT-GOM2-1-H005-1FB-3'!#REF!</definedName>
    <definedName name="_xlnm.Print_Area" localSheetId="1">'UT-GOM2-1-H005-1FB-3 table'!$A$1:$I$16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8" i="27" l="1"/>
  <c r="Y8" i="27"/>
  <c r="X9" i="27"/>
  <c r="Y9" i="27"/>
  <c r="X10" i="27"/>
  <c r="Y10" i="27"/>
  <c r="X11" i="27"/>
  <c r="Y11" i="27"/>
  <c r="X12" i="27"/>
  <c r="Y12" i="27"/>
  <c r="X13" i="27"/>
  <c r="Y13" i="27"/>
  <c r="X14" i="27"/>
  <c r="Y14" i="27"/>
  <c r="X15" i="27"/>
  <c r="Y15" i="27"/>
  <c r="X16" i="27"/>
  <c r="Y16" i="27"/>
  <c r="X17" i="27"/>
  <c r="Y17" i="27"/>
  <c r="X18" i="27"/>
  <c r="Y18" i="27"/>
  <c r="X7" i="27"/>
  <c r="Y7" i="27"/>
  <c r="T16" i="27"/>
  <c r="T15" i="27"/>
  <c r="T14" i="27"/>
  <c r="T13" i="27"/>
  <c r="T12" i="27"/>
  <c r="T11" i="27"/>
  <c r="T10" i="27"/>
  <c r="T9" i="27"/>
  <c r="T8" i="27"/>
  <c r="T7" i="27"/>
  <c r="T6" i="27"/>
  <c r="T17" i="27"/>
  <c r="AB7" i="27"/>
  <c r="AB8" i="27"/>
  <c r="AB9" i="27"/>
  <c r="AB10" i="27"/>
  <c r="AB11" i="27"/>
  <c r="AB12" i="27"/>
  <c r="AB13" i="27"/>
  <c r="AB14" i="27"/>
  <c r="AB15" i="27"/>
  <c r="AB16" i="27"/>
  <c r="AB17" i="27"/>
  <c r="AB18" i="27"/>
  <c r="AB6" i="27"/>
  <c r="N2" i="27"/>
  <c r="R9" i="27"/>
  <c r="R6" i="27"/>
  <c r="R7" i="27"/>
  <c r="R8" i="27"/>
  <c r="R13" i="27"/>
  <c r="R18" i="27"/>
  <c r="W6" i="27"/>
  <c r="Y6" i="27"/>
  <c r="W7" i="27"/>
  <c r="U10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O7" i="27"/>
  <c r="P7" i="27"/>
  <c r="O8" i="27"/>
  <c r="O9" i="27"/>
  <c r="O10" i="27"/>
  <c r="O11" i="27"/>
  <c r="O12" i="27"/>
  <c r="O13" i="27"/>
  <c r="O14" i="27"/>
  <c r="O15" i="27"/>
  <c r="O16" i="27"/>
  <c r="O17" i="27"/>
  <c r="O18" i="27"/>
  <c r="S6" i="27"/>
  <c r="U6" i="27"/>
  <c r="V6" i="27"/>
  <c r="Q6" i="27"/>
  <c r="S7" i="27"/>
  <c r="Q7" i="27"/>
  <c r="U7" i="27"/>
  <c r="S8" i="27"/>
  <c r="Q8" i="27"/>
  <c r="U8" i="27"/>
  <c r="S9" i="27"/>
  <c r="Q9" i="27"/>
  <c r="S10" i="27"/>
  <c r="Q10" i="27"/>
  <c r="S11" i="27"/>
  <c r="Q11" i="27"/>
  <c r="U11" i="27"/>
  <c r="S12" i="27"/>
  <c r="Q12" i="27"/>
  <c r="S13" i="27"/>
  <c r="Q13" i="27"/>
  <c r="S14" i="27"/>
  <c r="Q14" i="27"/>
  <c r="S15" i="27"/>
  <c r="Q15" i="27"/>
  <c r="S16" i="27"/>
  <c r="Q16" i="27"/>
  <c r="U16" i="27"/>
  <c r="S17" i="27"/>
  <c r="Q17" i="27"/>
  <c r="U17" i="27"/>
  <c r="S18" i="27"/>
  <c r="Q18" i="27"/>
  <c r="A1" i="30"/>
  <c r="C6" i="30"/>
  <c r="C4" i="30"/>
  <c r="I5" i="30"/>
  <c r="E6" i="30"/>
  <c r="A9" i="30"/>
  <c r="C7" i="30"/>
  <c r="F12" i="30"/>
  <c r="B8" i="30"/>
  <c r="G16" i="30"/>
  <c r="A8" i="30"/>
  <c r="F10" i="30"/>
  <c r="F16" i="30"/>
  <c r="C11" i="30"/>
  <c r="G12" i="30"/>
  <c r="C16" i="30"/>
  <c r="C12" i="30"/>
  <c r="G14" i="30"/>
  <c r="A4" i="30"/>
  <c r="E14" i="30"/>
  <c r="A10" i="30"/>
  <c r="B14" i="30"/>
  <c r="B6" i="30"/>
  <c r="F5" i="30"/>
  <c r="C10" i="30"/>
  <c r="I4" i="30"/>
  <c r="F7" i="30"/>
  <c r="B16" i="30"/>
  <c r="C14" i="30"/>
  <c r="E7" i="30"/>
  <c r="E8" i="30"/>
  <c r="C13" i="30"/>
  <c r="B11" i="30"/>
  <c r="A6" i="30"/>
  <c r="E11" i="30"/>
  <c r="E10" i="30"/>
  <c r="E15" i="30"/>
  <c r="B10" i="30"/>
  <c r="C9" i="30"/>
  <c r="G15" i="30"/>
  <c r="B13" i="30"/>
  <c r="A14" i="30"/>
  <c r="A16" i="30"/>
  <c r="E9" i="30"/>
  <c r="A5" i="30"/>
  <c r="G5" i="30"/>
  <c r="E4" i="30"/>
  <c r="A11" i="30"/>
  <c r="E5" i="30"/>
  <c r="G7" i="30"/>
  <c r="G13" i="30"/>
  <c r="F9" i="30"/>
  <c r="G6" i="30"/>
  <c r="G9" i="30"/>
  <c r="B4" i="30"/>
  <c r="G8" i="30"/>
  <c r="C15" i="30"/>
  <c r="G11" i="30"/>
  <c r="G10" i="30"/>
  <c r="F8" i="30"/>
  <c r="G4" i="30"/>
  <c r="B15" i="30"/>
  <c r="F13" i="30"/>
  <c r="A15" i="30"/>
  <c r="F14" i="30"/>
  <c r="B5" i="30"/>
  <c r="A12" i="30"/>
  <c r="E13" i="30"/>
  <c r="A7" i="30"/>
  <c r="F4" i="30"/>
  <c r="F11" i="30"/>
  <c r="B12" i="30"/>
  <c r="B7" i="30"/>
  <c r="A13" i="30"/>
  <c r="F6" i="30"/>
  <c r="D4" i="30"/>
  <c r="C5" i="30"/>
  <c r="B9" i="30"/>
  <c r="F15" i="30"/>
  <c r="E16" i="30"/>
  <c r="C8" i="30"/>
  <c r="U15" i="27"/>
  <c r="U18" i="27"/>
  <c r="U13" i="27"/>
  <c r="R17" i="27"/>
  <c r="R12" i="27"/>
  <c r="R11" i="27"/>
  <c r="R15" i="27"/>
  <c r="R10" i="27"/>
  <c r="R16" i="27"/>
  <c r="U9" i="27"/>
  <c r="W8" i="27"/>
  <c r="R14" i="27"/>
  <c r="P8" i="27"/>
  <c r="P9" i="27"/>
  <c r="P10" i="27"/>
  <c r="P11" i="27"/>
  <c r="P12" i="27"/>
  <c r="P13" i="27"/>
  <c r="P14" i="27"/>
  <c r="P15" i="27"/>
  <c r="P16" i="27"/>
  <c r="P17" i="27"/>
  <c r="P18" i="27"/>
  <c r="U12" i="27"/>
  <c r="Z6" i="27"/>
  <c r="V7" i="27"/>
  <c r="E12" i="30"/>
  <c r="D5" i="30"/>
  <c r="U14" i="27"/>
  <c r="W9" i="27"/>
  <c r="V8" i="27"/>
  <c r="Z7" i="27"/>
  <c r="I6" i="30"/>
  <c r="D6" i="30"/>
  <c r="W10" i="27"/>
  <c r="Z8" i="27"/>
  <c r="V9" i="27"/>
  <c r="I7" i="30"/>
  <c r="D7" i="30"/>
  <c r="W11" i="27"/>
  <c r="V10" i="27"/>
  <c r="Z9" i="27"/>
  <c r="I8" i="30"/>
  <c r="D8" i="30"/>
  <c r="W12" i="27"/>
  <c r="V11" i="27"/>
  <c r="Z10" i="27"/>
  <c r="I9" i="30"/>
  <c r="D9" i="30"/>
  <c r="W13" i="27"/>
  <c r="Z11" i="27"/>
  <c r="V12" i="27"/>
  <c r="I10" i="30"/>
  <c r="D10" i="30"/>
  <c r="W14" i="27"/>
  <c r="V13" i="27"/>
  <c r="Z12" i="27"/>
  <c r="I11" i="30"/>
  <c r="D11" i="30"/>
  <c r="W15" i="27"/>
  <c r="Z13" i="27"/>
  <c r="V14" i="27"/>
  <c r="I12" i="30"/>
  <c r="D12" i="30"/>
  <c r="W16" i="27"/>
  <c r="V15" i="27"/>
  <c r="Z14" i="27"/>
  <c r="I13" i="30"/>
  <c r="D13" i="30"/>
  <c r="W17" i="27"/>
  <c r="V16" i="27"/>
  <c r="Z15" i="27"/>
  <c r="I14" i="30"/>
  <c r="D14" i="30"/>
  <c r="W18" i="27"/>
  <c r="Z16" i="27"/>
  <c r="V17" i="27"/>
  <c r="I15" i="30"/>
  <c r="I16" i="30"/>
  <c r="D15" i="30"/>
  <c r="Z17" i="27"/>
  <c r="V18" i="27"/>
  <c r="D16" i="30"/>
  <c r="Z18" i="27"/>
  <c r="H4" i="30"/>
  <c r="H5" i="30"/>
  <c r="H6" i="30"/>
  <c r="H10" i="30"/>
  <c r="H8" i="30"/>
  <c r="H16" i="30"/>
  <c r="H9" i="30"/>
  <c r="H12" i="30"/>
  <c r="H13" i="30"/>
  <c r="H7" i="30"/>
  <c r="H11" i="30"/>
  <c r="H14" i="30"/>
  <c r="H15" i="30"/>
</calcChain>
</file>

<file path=xl/sharedStrings.xml><?xml version="1.0" encoding="utf-8"?>
<sst xmlns="http://schemas.openxmlformats.org/spreadsheetml/2006/main" count="69" uniqueCount="55">
  <si>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</si>
  <si>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</si>
  <si>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</si>
  <si>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</si>
  <si>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</si>
  <si>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</si>
  <si>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</si>
  <si>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</si>
  <si>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</si>
  <si>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</si>
  <si>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</si>
  <si>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</si>
  <si>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</si>
  <si>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</si>
  <si>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</si>
  <si>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Volume Gas 
Chamber
(ml)</t>
  </si>
  <si>
    <t>Date</t>
  </si>
  <si>
    <t>Stage</t>
  </si>
  <si>
    <t>Start Pressure
(MPa)</t>
  </si>
  <si>
    <t>End Pressure
(MPa)</t>
  </si>
  <si>
    <t>Cumulative Volume Gas Expelled (liters @ STP)</t>
  </si>
  <si>
    <r>
      <t>Percent Methane (%</t>
    </r>
    <r>
      <rPr>
        <b/>
        <sz val="10"/>
        <rFont val="Arial"/>
        <family val="2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</si>
  <si>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</si>
  <si>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</si>
  <si>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</si>
  <si>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  <family val="2"/>
      </rPr>
      <t xml:space="preserve">        in System         (liters @ STP)</t>
    </r>
  </si>
  <si>
    <t>Gas sample (syringe #)</t>
  </si>
  <si>
    <t>Copy name of degassing data sheet and paste here</t>
  </si>
  <si>
    <t>Time</t>
  </si>
  <si>
    <t>Other Samples / Comments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</si>
  <si>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</si>
  <si>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</si>
  <si>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</si>
  <si>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</si>
  <si>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</si>
  <si>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</si>
  <si>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</si>
  <si>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</si>
  <si>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</si>
  <si>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</si>
  <si>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</si>
  <si>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</si>
  <si>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</si>
  <si>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</si>
  <si>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</si>
  <si>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</si>
  <si>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</si>
  <si>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</si>
  <si>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for plot</t>
  </si>
  <si>
    <t>End P
(MPa)</t>
  </si>
  <si>
    <t>UT-GOM2-1-H005-1FB-3 / 035-023</t>
  </si>
  <si>
    <t>Yellow</t>
  </si>
  <si>
    <t>Cu tube 61</t>
  </si>
  <si>
    <t>UT-GOM2-1-H005-1FB-3</t>
  </si>
  <si>
    <t>20Y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</si>
</sst>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000"/>
  </numFmts>
  <fonts count="18" x14ac:knownFonts="1">
    <font>
      <sz val="10"/>
      <name val="Verdana"/>
    </font>
    <font>
      <b/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DE2C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8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164" fontId="1" fillId="0" borderId="0" xfId="5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164" fontId="1" fillId="0" borderId="0" xfId="5" applyNumberFormat="1" applyFont="1" applyFill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center" wrapText="1"/>
    </xf>
    <xf numFmtId="0" fontId="10" fillId="0" borderId="0" xfId="6" applyFont="1"/>
    <xf numFmtId="2" fontId="11" fillId="0" borderId="0" xfId="6" applyNumberFormat="1" applyFont="1" applyBorder="1" applyAlignment="1">
      <alignment vertical="center"/>
    </xf>
    <xf numFmtId="0" fontId="10" fillId="0" borderId="0" xfId="6" applyFont="1" applyBorder="1"/>
    <xf numFmtId="0" fontId="12" fillId="3" borderId="25" xfId="6" applyFont="1" applyFill="1" applyBorder="1" applyAlignment="1">
      <alignment horizontal="center" vertical="center" wrapText="1"/>
    </xf>
    <xf numFmtId="164" fontId="12" fillId="3" borderId="25" xfId="6" applyNumberFormat="1" applyFont="1" applyFill="1" applyBorder="1" applyAlignment="1">
      <alignment horizontal="center" vertical="center" wrapText="1"/>
    </xf>
    <xf numFmtId="164" fontId="12" fillId="3" borderId="26" xfId="6" applyNumberFormat="1" applyFont="1" applyFill="1" applyBorder="1" applyAlignment="1">
      <alignment horizontal="center" vertical="center" wrapText="1"/>
    </xf>
    <xf numFmtId="0" fontId="10" fillId="0" borderId="0" xfId="6" applyFont="1" applyAlignment="1">
      <alignment vertical="center"/>
    </xf>
    <xf numFmtId="0" fontId="10" fillId="0" borderId="1" xfId="6" applyFont="1" applyBorder="1" applyAlignment="1">
      <alignment horizontal="center"/>
    </xf>
    <xf numFmtId="165" fontId="10" fillId="0" borderId="1" xfId="6" applyNumberFormat="1" applyFont="1" applyBorder="1" applyAlignment="1">
      <alignment horizontal="center"/>
    </xf>
    <xf numFmtId="2" fontId="10" fillId="0" borderId="1" xfId="6" applyNumberFormat="1" applyFont="1" applyBorder="1" applyAlignment="1">
      <alignment horizontal="center"/>
    </xf>
    <xf numFmtId="9" fontId="10" fillId="0" borderId="1" xfId="87" applyFont="1" applyBorder="1" applyAlignment="1">
      <alignment horizontal="center"/>
    </xf>
    <xf numFmtId="0" fontId="10" fillId="0" borderId="0" xfId="6" applyFont="1" applyAlignment="1">
      <alignment horizontal="center"/>
    </xf>
    <xf numFmtId="2" fontId="13" fillId="0" borderId="0" xfId="6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 vertical="center"/>
    </xf>
    <xf numFmtId="20" fontId="8" fillId="0" borderId="36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5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5" applyNumberFormat="1" applyFont="1" applyFill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164" fontId="1" fillId="0" borderId="4" xfId="5" applyFont="1" applyFill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" fontId="1" fillId="0" borderId="13" xfId="0" applyNumberFormat="1" applyFont="1" applyFill="1" applyBorder="1" applyAlignment="1">
      <alignment horizontal="center" wrapText="1"/>
    </xf>
    <xf numFmtId="0" fontId="7" fillId="0" borderId="43" xfId="0" applyFont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wrapText="1"/>
    </xf>
    <xf numFmtId="164" fontId="1" fillId="0" borderId="12" xfId="5" applyNumberFormat="1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1" fontId="15" fillId="0" borderId="0" xfId="0" applyNumberFormat="1" applyFont="1" applyFill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" fontId="16" fillId="0" borderId="0" xfId="5" applyNumberFormat="1" applyFont="1" applyFill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4" fontId="1" fillId="0" borderId="4" xfId="5" applyNumberFormat="1" applyFont="1" applyFill="1" applyBorder="1" applyAlignment="1">
      <alignment horizontal="center" wrapText="1"/>
    </xf>
    <xf numFmtId="164" fontId="1" fillId="0" borderId="3" xfId="5" applyNumberFormat="1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vertical="center" wrapText="1"/>
    </xf>
    <xf numFmtId="1" fontId="10" fillId="0" borderId="1" xfId="6" applyNumberFormat="1" applyFont="1" applyBorder="1" applyAlignment="1">
      <alignment horizontal="center"/>
    </xf>
    <xf numFmtId="164" fontId="1" fillId="0" borderId="45" xfId="5" applyNumberFormat="1" applyFont="1" applyFill="1" applyBorder="1" applyAlignment="1">
      <alignment horizontal="center" wrapText="1"/>
    </xf>
    <xf numFmtId="165" fontId="16" fillId="0" borderId="0" xfId="5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16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2" fontId="9" fillId="0" borderId="0" xfId="6" applyNumberFormat="1" applyFont="1" applyBorder="1" applyAlignment="1">
      <alignment horizontal="center" vertical="center"/>
    </xf>
  </cellXfs>
  <cellStyles count="88">
    <cellStyle name="Comma" xfId="5" builtinId="3"/>
    <cellStyle name="Followed Hyperlink" xfId="2" builtinId="9" hidden="1"/>
    <cellStyle name="Followed Hyperlink" xfId="4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1" builtinId="8" hidden="1"/>
    <cellStyle name="Hyperlink" xfId="3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l" xfId="0" builtinId="0"/>
    <cellStyle name="Normal 2" xfId="6"/>
    <cellStyle name="Percent 2" xfId="8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6"/>
          <c:w val="0.851293788276465"/>
          <c:h val="0.7692925785851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'UT-GOM2-1-H005-1FB-3'!$Z$4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'UT-GOM2-1-H005-1FB-3'!$Z$6:$Z$18</c:f>
              <c:numCache>
                <c:formatCode>0.00</c:formatCode>
                <c:ptCount val="13"/>
                <c:pt idx="0">
                  <c:v>0.0</c:v>
                </c:pt>
                <c:pt idx="1">
                  <c:v>0.393333136074386</c:v>
                </c:pt>
                <c:pt idx="2">
                  <c:v>0.668264286817716</c:v>
                </c:pt>
                <c:pt idx="3">
                  <c:v>0.750445836134263</c:v>
                </c:pt>
                <c:pt idx="4">
                  <c:v>0.959901583057838</c:v>
                </c:pt>
                <c:pt idx="5">
                  <c:v>0.901514615858325</c:v>
                </c:pt>
                <c:pt idx="6">
                  <c:v>0.75948192796864</c:v>
                </c:pt>
                <c:pt idx="7">
                  <c:v>1.01490410814854</c:v>
                </c:pt>
                <c:pt idx="8">
                  <c:v>1.157314535264214</c:v>
                </c:pt>
                <c:pt idx="9">
                  <c:v>1.00107541350134</c:v>
                </c:pt>
                <c:pt idx="10">
                  <c:v>0.937006482341464</c:v>
                </c:pt>
                <c:pt idx="11">
                  <c:v>0.683152323907137</c:v>
                </c:pt>
                <c:pt idx="12">
                  <c:v>0.62886611378346</c:v>
                </c:pt>
              </c:numCache>
            </c:numRef>
          </c:xVal>
          <c:yVal>
            <c:numRef>
              <c:f>'UT-GOM2-1-H005-1FB-3'!$AB$6:$AB$18</c:f>
              <c:numCache>
                <c:formatCode>0.0</c:formatCode>
                <c:ptCount val="13"/>
                <c:pt idx="0">
                  <c:v>19.7</c:v>
                </c:pt>
                <c:pt idx="1">
                  <c:v>16.0</c:v>
                </c:pt>
                <c:pt idx="2">
                  <c:v>12.5</c:v>
                </c:pt>
                <c:pt idx="3">
                  <c:v>9.9</c:v>
                </c:pt>
                <c:pt idx="4">
                  <c:v>8.5</c:v>
                </c:pt>
                <c:pt idx="5">
                  <c:v>7.1</c:v>
                </c:pt>
                <c:pt idx="6">
                  <c:v>5.3</c:v>
                </c:pt>
                <c:pt idx="7">
                  <c:v>4.7</c:v>
                </c:pt>
                <c:pt idx="8">
                  <c:v>4.0</c:v>
                </c:pt>
                <c:pt idx="9">
                  <c:v>3.2</c:v>
                </c:pt>
                <c:pt idx="10">
                  <c:v>2.4</c:v>
                </c:pt>
                <c:pt idx="11">
                  <c:v>1.5</c:v>
                </c:pt>
                <c:pt idx="12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'UT-GOM2-1-H005-1FB-3'!$U$4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'UT-GOM2-1-H005-1FB-3'!$V$6:$V$18</c:f>
              <c:numCache>
                <c:formatCode>0.00</c:formatCode>
                <c:ptCount val="1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0.478158062135231</c:v>
                </c:pt>
              </c:numCache>
            </c:numRef>
          </c:xVal>
          <c:yVal>
            <c:numRef>
              <c:f>'UT-GOM2-1-H005-1FB-3'!$AB$6:$AB$18</c:f>
              <c:numCache>
                <c:formatCode>0.0</c:formatCode>
                <c:ptCount val="13"/>
                <c:pt idx="0">
                  <c:v>19.7</c:v>
                </c:pt>
                <c:pt idx="1">
                  <c:v>16.0</c:v>
                </c:pt>
                <c:pt idx="2">
                  <c:v>12.5</c:v>
                </c:pt>
                <c:pt idx="3">
                  <c:v>9.9</c:v>
                </c:pt>
                <c:pt idx="4">
                  <c:v>8.5</c:v>
                </c:pt>
                <c:pt idx="5">
                  <c:v>7.1</c:v>
                </c:pt>
                <c:pt idx="6">
                  <c:v>5.3</c:v>
                </c:pt>
                <c:pt idx="7">
                  <c:v>4.7</c:v>
                </c:pt>
                <c:pt idx="8">
                  <c:v>4.0</c:v>
                </c:pt>
                <c:pt idx="9">
                  <c:v>3.2</c:v>
                </c:pt>
                <c:pt idx="10">
                  <c:v>2.4</c:v>
                </c:pt>
                <c:pt idx="11">
                  <c:v>1.5</c:v>
                </c:pt>
                <c:pt idx="12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'UT-GOM2-1-H005-1FB-3'!$W$4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'UT-GOM2-1-H005-1FB-3'!$Y$6:$Y$18</c:f>
              <c:numCache>
                <c:formatCode>0.00</c:formatCode>
                <c:ptCount val="13"/>
                <c:pt idx="0">
                  <c:v>0.0</c:v>
                </c:pt>
                <c:pt idx="1">
                  <c:v>0.393333136074386</c:v>
                </c:pt>
                <c:pt idx="2">
                  <c:v>0.668264286817716</c:v>
                </c:pt>
                <c:pt idx="3">
                  <c:v>0.750445836134263</c:v>
                </c:pt>
                <c:pt idx="4">
                  <c:v>0.959901583057838</c:v>
                </c:pt>
                <c:pt idx="5">
                  <c:v>0.901514615858325</c:v>
                </c:pt>
                <c:pt idx="6">
                  <c:v>0.75948192796864</c:v>
                </c:pt>
                <c:pt idx="7">
                  <c:v>1.01490410814854</c:v>
                </c:pt>
                <c:pt idx="8">
                  <c:v>1.157314535264214</c:v>
                </c:pt>
                <c:pt idx="9">
                  <c:v>1.00107541350134</c:v>
                </c:pt>
                <c:pt idx="10">
                  <c:v>0.937006482341464</c:v>
                </c:pt>
                <c:pt idx="11">
                  <c:v>0.683152323907137</c:v>
                </c:pt>
                <c:pt idx="12">
                  <c:v>0.150708051648228</c:v>
                </c:pt>
              </c:numCache>
            </c:numRef>
          </c:xVal>
          <c:yVal>
            <c:numRef>
              <c:f>'UT-GOM2-1-H005-1FB-3'!$AB$6:$AB$18</c:f>
              <c:numCache>
                <c:formatCode>0.0</c:formatCode>
                <c:ptCount val="13"/>
                <c:pt idx="0">
                  <c:v>19.7</c:v>
                </c:pt>
                <c:pt idx="1">
                  <c:v>16.0</c:v>
                </c:pt>
                <c:pt idx="2">
                  <c:v>12.5</c:v>
                </c:pt>
                <c:pt idx="3">
                  <c:v>9.9</c:v>
                </c:pt>
                <c:pt idx="4">
                  <c:v>8.5</c:v>
                </c:pt>
                <c:pt idx="5">
                  <c:v>7.1</c:v>
                </c:pt>
                <c:pt idx="6">
                  <c:v>5.3</c:v>
                </c:pt>
                <c:pt idx="7">
                  <c:v>4.7</c:v>
                </c:pt>
                <c:pt idx="8">
                  <c:v>4.0</c:v>
                </c:pt>
                <c:pt idx="9">
                  <c:v>3.2</c:v>
                </c:pt>
                <c:pt idx="10">
                  <c:v>2.4</c:v>
                </c:pt>
                <c:pt idx="11">
                  <c:v>1.5</c:v>
                </c:pt>
                <c:pt idx="12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8969640"/>
        <c:axId val="-2058500552"/>
      </c:scatterChart>
      <c:valAx>
        <c:axId val="-2078969640"/>
        <c:scaling>
          <c:orientation val="minMax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16742081"/>
              <c:y val="0.9517440718157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58500552"/>
        <c:crosses val="autoZero"/>
        <c:crossBetween val="midCat"/>
        <c:minorUnit val="1.0"/>
      </c:valAx>
      <c:valAx>
        <c:axId val="-2058500552"/>
        <c:scaling>
          <c:orientation val="minMax"/>
          <c:max val="2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(MPa)</a:t>
                </a:r>
              </a:p>
            </c:rich>
          </c:tx>
          <c:layout>
            <c:manualLayout>
              <c:xMode val="edge"/>
              <c:yMode val="edge"/>
              <c:x val="0.0126675465057818"/>
              <c:y val="0.406135331978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78969640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488185018"/>
          <c:y val="0.144544546070461"/>
          <c:w val="0.312371794871795"/>
          <c:h val="0.1050558943089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72645" y="431497"/>
    <xdr:ext cx="7956000" cy="5904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UT-GOM2-1-H005-1FB-3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18"/>
  <sheetViews>
    <sheetView zoomScale="75" zoomScaleNormal="75" zoomScalePageLayoutView="75" workbookViewId="0">
      <selection activeCell="L27" sqref="L27"/>
    </sheetView>
  </sheetViews>
  <sheetFormatPr baseColWidth="10" defaultColWidth="11" defaultRowHeight="13" x14ac:dyDescent="0"/>
  <cols>
    <col min="1" max="1" width="11.28515625" style="2" customWidth="1"/>
    <col min="2" max="2" width="15.42578125" style="2" customWidth="1"/>
    <col min="3" max="3" width="20" customWidth="1"/>
    <col min="4" max="5" width="12.140625" customWidth="1"/>
    <col min="6" max="6" width="12.140625" style="9" customWidth="1"/>
    <col min="7" max="7" width="12.140625" style="1" customWidth="1"/>
    <col min="8" max="8" width="0.42578125" style="1" customWidth="1"/>
    <col min="9" max="12" width="13.5703125" customWidth="1"/>
    <col min="13" max="13" width="21.140625" customWidth="1"/>
    <col min="14" max="14" width="39.7109375" style="8" customWidth="1"/>
    <col min="15" max="15" width="13" style="41" customWidth="1"/>
    <col min="16" max="16" width="13" style="42" customWidth="1"/>
    <col min="17" max="17" width="13" style="43" customWidth="1"/>
    <col min="18" max="18" width="13" style="41" customWidth="1"/>
    <col min="19" max="19" width="13" style="43" customWidth="1"/>
    <col min="20" max="20" width="14.140625" style="41" customWidth="1"/>
    <col min="21" max="21" width="13" style="41" customWidth="1"/>
    <col min="22" max="22" width="13" style="44" customWidth="1"/>
    <col min="23" max="23" width="17" style="44" customWidth="1"/>
    <col min="24" max="24" width="13.140625" style="44" customWidth="1"/>
    <col min="25" max="25" width="14.85546875" style="44" customWidth="1"/>
    <col min="26" max="26" width="20.42578125" style="41" customWidth="1"/>
    <col min="27" max="16384" width="11" style="3"/>
  </cols>
  <sheetData>
    <row r="1" spans="1:28" ht="25" customHeight="1">
      <c r="A1" s="96" t="s">
        <v>1</v>
      </c>
      <c r="B1" s="97"/>
      <c r="C1" s="97"/>
      <c r="D1" s="97"/>
      <c r="E1" s="97"/>
      <c r="F1" s="98">
        <v>41426</v>
      </c>
      <c r="G1" s="99"/>
      <c r="H1" s="100"/>
      <c r="I1" s="101" t="s">
        <v>11</v>
      </c>
      <c r="J1" s="97"/>
      <c r="K1" s="97"/>
      <c r="L1" s="99" t="s">
        <v>50</v>
      </c>
      <c r="M1" s="99"/>
      <c r="N1" s="100"/>
      <c r="O1" s="4" t="s">
        <v>13</v>
      </c>
      <c r="P1" s="4" t="s">
        <v>13</v>
      </c>
      <c r="Q1" s="4" t="s">
        <v>13</v>
      </c>
      <c r="R1" s="4" t="s">
        <v>13</v>
      </c>
      <c r="S1" s="6" t="s">
        <v>13</v>
      </c>
      <c r="T1" s="4"/>
      <c r="U1" s="6" t="s">
        <v>13</v>
      </c>
      <c r="W1" s="7"/>
      <c r="X1" s="7"/>
    </row>
    <row r="2" spans="1:28" ht="25" customHeight="1" thickBot="1">
      <c r="A2" s="91" t="s">
        <v>10</v>
      </c>
      <c r="B2" s="92"/>
      <c r="C2" s="92"/>
      <c r="D2" s="92"/>
      <c r="E2" s="92"/>
      <c r="F2" s="93">
        <v>1009</v>
      </c>
      <c r="G2" s="93"/>
      <c r="H2" s="94"/>
      <c r="I2" s="95" t="s">
        <v>4</v>
      </c>
      <c r="J2" s="92"/>
      <c r="K2" s="92"/>
      <c r="L2" s="93" t="s">
        <v>51</v>
      </c>
      <c r="M2" s="93"/>
      <c r="N2" s="67">
        <f>IF(L2="red",4025, IF(L2="green",4140,IF(L2="yellow",4122,IF(L2="blue",4059,0))))</f>
        <v>4122</v>
      </c>
      <c r="O2" s="4"/>
      <c r="P2" s="5"/>
      <c r="Q2" s="6" t="s">
        <v>13</v>
      </c>
      <c r="S2" s="6" t="s">
        <v>13</v>
      </c>
      <c r="U2" s="4" t="s">
        <v>13</v>
      </c>
      <c r="V2" s="4" t="s">
        <v>13</v>
      </c>
      <c r="W2" s="4" t="s">
        <v>13</v>
      </c>
      <c r="X2" s="4"/>
      <c r="Y2" s="4"/>
      <c r="Z2" s="4" t="s">
        <v>13</v>
      </c>
    </row>
    <row r="3" spans="1:28" ht="25" customHeight="1" thickBot="1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80"/>
      <c r="Q3" s="108" t="s">
        <v>35</v>
      </c>
      <c r="R3" s="109"/>
      <c r="S3" s="110"/>
    </row>
    <row r="4" spans="1:28" ht="25" customHeight="1">
      <c r="A4" s="81" t="s">
        <v>17</v>
      </c>
      <c r="B4" s="73" t="s">
        <v>16</v>
      </c>
      <c r="C4" s="83" t="s">
        <v>28</v>
      </c>
      <c r="D4" s="75" t="s">
        <v>31</v>
      </c>
      <c r="E4" s="77"/>
      <c r="F4" s="75" t="s">
        <v>3</v>
      </c>
      <c r="G4" s="76"/>
      <c r="H4" s="56"/>
      <c r="I4" s="85" t="s">
        <v>2</v>
      </c>
      <c r="J4" s="85"/>
      <c r="K4" s="85"/>
      <c r="L4" s="86"/>
      <c r="M4" s="87" t="s">
        <v>26</v>
      </c>
      <c r="N4" s="89" t="s">
        <v>29</v>
      </c>
      <c r="O4" s="107" t="s">
        <v>34</v>
      </c>
      <c r="P4" s="106"/>
      <c r="Q4" s="47" t="s">
        <v>37</v>
      </c>
      <c r="R4" s="111" t="s">
        <v>36</v>
      </c>
      <c r="S4" s="112"/>
      <c r="T4" s="51" t="s">
        <v>38</v>
      </c>
      <c r="U4" s="105" t="s">
        <v>32</v>
      </c>
      <c r="V4" s="106"/>
      <c r="W4" s="102" t="s">
        <v>45</v>
      </c>
      <c r="X4" s="103"/>
      <c r="Y4" s="104"/>
      <c r="Z4" s="51" t="s">
        <v>33</v>
      </c>
      <c r="AB4" s="51" t="s">
        <v>48</v>
      </c>
    </row>
    <row r="5" spans="1:28" s="4" customFormat="1" ht="77.25" customHeight="1" thickBot="1">
      <c r="A5" s="82"/>
      <c r="B5" s="74"/>
      <c r="C5" s="84"/>
      <c r="D5" s="57" t="s">
        <v>5</v>
      </c>
      <c r="E5" s="58" t="s">
        <v>6</v>
      </c>
      <c r="F5" s="57" t="s">
        <v>0</v>
      </c>
      <c r="G5" s="58" t="s">
        <v>7</v>
      </c>
      <c r="H5" s="59"/>
      <c r="I5" s="59" t="s">
        <v>5</v>
      </c>
      <c r="J5" s="58" t="s">
        <v>6</v>
      </c>
      <c r="K5" s="59" t="s">
        <v>8</v>
      </c>
      <c r="L5" s="60" t="s">
        <v>9</v>
      </c>
      <c r="M5" s="88"/>
      <c r="N5" s="90"/>
      <c r="O5" s="54" t="s">
        <v>30</v>
      </c>
      <c r="P5" s="46" t="s">
        <v>14</v>
      </c>
      <c r="Q5" s="48" t="s">
        <v>44</v>
      </c>
      <c r="R5" s="49" t="s">
        <v>15</v>
      </c>
      <c r="S5" s="50" t="s">
        <v>43</v>
      </c>
      <c r="T5" s="52" t="s">
        <v>12</v>
      </c>
      <c r="U5" s="45" t="s">
        <v>42</v>
      </c>
      <c r="V5" s="65" t="s">
        <v>39</v>
      </c>
      <c r="W5" s="53" t="s">
        <v>46</v>
      </c>
      <c r="X5" s="69" t="s">
        <v>47</v>
      </c>
      <c r="Y5" s="66" t="s">
        <v>40</v>
      </c>
      <c r="Z5" s="52" t="s">
        <v>41</v>
      </c>
      <c r="AB5" s="52" t="s">
        <v>49</v>
      </c>
    </row>
    <row r="6" spans="1:28" s="34" customFormat="1" ht="20.25" customHeight="1">
      <c r="A6" s="23">
        <v>1</v>
      </c>
      <c r="B6" s="24">
        <v>41426</v>
      </c>
      <c r="C6" s="25">
        <v>0.4375</v>
      </c>
      <c r="D6" s="26">
        <v>197</v>
      </c>
      <c r="E6" s="27">
        <v>197</v>
      </c>
      <c r="F6" s="28">
        <v>0</v>
      </c>
      <c r="G6" s="29">
        <v>0</v>
      </c>
      <c r="H6" s="30"/>
      <c r="I6" s="31">
        <v>1</v>
      </c>
      <c r="J6" s="31">
        <v>1</v>
      </c>
      <c r="K6" s="32">
        <v>0</v>
      </c>
      <c r="L6" s="27">
        <v>8</v>
      </c>
      <c r="M6" s="26"/>
      <c r="N6" s="33"/>
      <c r="O6" s="55">
        <v>0</v>
      </c>
      <c r="P6" s="55">
        <v>0</v>
      </c>
      <c r="Q6" s="61">
        <f t="shared" ref="Q6:Q18" si="0">F6*$F$2/1000*273/(273+L6)</f>
        <v>0</v>
      </c>
      <c r="R6" s="62">
        <f t="shared" ref="R6:R18" si="1">$N$2-K6</f>
        <v>4122</v>
      </c>
      <c r="S6" s="63">
        <f>IF(I6=J6,0,R6*(J6-I6))*273/(273+L6)</f>
        <v>0</v>
      </c>
      <c r="T6" s="71">
        <f t="shared" ref="T6:T16" si="2">T7</f>
        <v>84.1</v>
      </c>
      <c r="U6" s="61">
        <f>(S6+Q6)*T6/100</f>
        <v>0</v>
      </c>
      <c r="V6" s="64">
        <f>U6/1000</f>
        <v>0</v>
      </c>
      <c r="W6" s="64">
        <f>(G6+K6)/1000</f>
        <v>0</v>
      </c>
      <c r="X6" s="64">
        <v>0</v>
      </c>
      <c r="Y6" s="64">
        <f>(W6-X6)*(E6+1)*1*273/(273+L6)*T6/100</f>
        <v>0</v>
      </c>
      <c r="Z6" s="64">
        <f>V6+Y6</f>
        <v>0</v>
      </c>
      <c r="AB6" s="70">
        <f>E6/10</f>
        <v>19.7</v>
      </c>
    </row>
    <row r="7" spans="1:28" s="40" customFormat="1" ht="20.25" customHeight="1">
      <c r="A7" s="35">
        <f>A6+1</f>
        <v>2</v>
      </c>
      <c r="B7" s="24">
        <v>41426</v>
      </c>
      <c r="C7" s="25">
        <v>0.4375</v>
      </c>
      <c r="D7" s="26">
        <v>197</v>
      </c>
      <c r="E7" s="27">
        <v>160</v>
      </c>
      <c r="F7" s="36">
        <v>0</v>
      </c>
      <c r="G7" s="29">
        <v>5</v>
      </c>
      <c r="H7" s="37"/>
      <c r="I7" s="31">
        <v>1</v>
      </c>
      <c r="J7" s="31">
        <v>1</v>
      </c>
      <c r="K7" s="32">
        <v>0</v>
      </c>
      <c r="L7" s="27">
        <v>8</v>
      </c>
      <c r="M7" s="38"/>
      <c r="N7" s="39"/>
      <c r="O7" s="61">
        <f t="shared" ref="O7:O18" si="3">((B7 +C7) - (B6 + C6)) * 24 * 60</f>
        <v>0</v>
      </c>
      <c r="P7" s="64">
        <f>P6+O7/60</f>
        <v>0</v>
      </c>
      <c r="Q7" s="61">
        <f t="shared" si="0"/>
        <v>0</v>
      </c>
      <c r="R7" s="62">
        <f t="shared" si="1"/>
        <v>4122</v>
      </c>
      <c r="S7" s="63">
        <f t="shared" ref="S7:S18" si="4">IF(I7=J7,0,R7*(J7-I7))*273/(273+L7)</f>
        <v>0</v>
      </c>
      <c r="T7" s="71">
        <f t="shared" si="2"/>
        <v>84.1</v>
      </c>
      <c r="U7" s="61">
        <f>(S7+Q7)*T7/100</f>
        <v>0</v>
      </c>
      <c r="V7" s="64">
        <f t="shared" ref="V7:V9" si="5">V6+U7/1000</f>
        <v>0</v>
      </c>
      <c r="W7" s="64">
        <f>W6+(G7+K7)/1000</f>
        <v>5.0000000000000001E-3</v>
      </c>
      <c r="X7" s="72">
        <f>0.026*EXP(-0.016*E7)</f>
        <v>2.0099232515257931E-3</v>
      </c>
      <c r="Y7" s="64">
        <f>(W7-(X7-X6))*(E7+1)*1*273/(273+L7)*T7/100</f>
        <v>0.39333313607438647</v>
      </c>
      <c r="Z7" s="64">
        <f>V7+Y7</f>
        <v>0.39333313607438647</v>
      </c>
      <c r="AB7" s="70">
        <f t="shared" ref="AB7:AB18" si="6">E7/10</f>
        <v>16</v>
      </c>
    </row>
    <row r="8" spans="1:28" s="40" customFormat="1" ht="20.25" customHeight="1">
      <c r="A8" s="35">
        <f t="shared" ref="A8:A18" si="7">A7+1</f>
        <v>3</v>
      </c>
      <c r="B8" s="24">
        <v>41426</v>
      </c>
      <c r="C8" s="25">
        <v>0.43958333333333338</v>
      </c>
      <c r="D8" s="26">
        <v>161</v>
      </c>
      <c r="E8" s="27">
        <v>125</v>
      </c>
      <c r="F8" s="36">
        <v>0</v>
      </c>
      <c r="G8" s="29">
        <v>3</v>
      </c>
      <c r="H8" s="37"/>
      <c r="I8" s="31">
        <v>1</v>
      </c>
      <c r="J8" s="31">
        <v>1</v>
      </c>
      <c r="K8" s="32">
        <v>0</v>
      </c>
      <c r="L8" s="27">
        <v>8</v>
      </c>
      <c r="M8" s="38"/>
      <c r="N8" s="39"/>
      <c r="O8" s="61">
        <f t="shared" si="3"/>
        <v>2.9999999993015081</v>
      </c>
      <c r="P8" s="64">
        <f t="shared" ref="P8:P18" si="8">P7+O8/60</f>
        <v>4.9999999988358468E-2</v>
      </c>
      <c r="Q8" s="61">
        <f t="shared" si="0"/>
        <v>0</v>
      </c>
      <c r="R8" s="62">
        <f t="shared" si="1"/>
        <v>4122</v>
      </c>
      <c r="S8" s="63">
        <f t="shared" si="4"/>
        <v>0</v>
      </c>
      <c r="T8" s="71">
        <f t="shared" si="2"/>
        <v>84.1</v>
      </c>
      <c r="U8" s="61">
        <f t="shared" ref="U8:U18" si="9">(S8+Q8)*T8/100</f>
        <v>0</v>
      </c>
      <c r="V8" s="64">
        <f t="shared" si="5"/>
        <v>0</v>
      </c>
      <c r="W8" s="64">
        <f t="shared" ref="W8:W18" si="10">W7+(G8+K8)/1000</f>
        <v>8.0000000000000002E-3</v>
      </c>
      <c r="X8" s="72">
        <f t="shared" ref="X8:X18" si="11">0.026*EXP(-0.016*E8)</f>
        <v>3.5187173641519302E-3</v>
      </c>
      <c r="Y8" s="64">
        <f t="shared" ref="Y8:Y18" si="12">(W8-(X8-X7))*(E8+1)*1*273/(273+L8)*T8/100</f>
        <v>0.66826428681771621</v>
      </c>
      <c r="Z8" s="64">
        <f t="shared" ref="Z8:Z18" si="13">V8+Y8</f>
        <v>0.66826428681771621</v>
      </c>
      <c r="AB8" s="70">
        <f t="shared" si="6"/>
        <v>12.5</v>
      </c>
    </row>
    <row r="9" spans="1:28" s="40" customFormat="1" ht="20.25" customHeight="1">
      <c r="A9" s="35">
        <f t="shared" si="7"/>
        <v>4</v>
      </c>
      <c r="B9" s="24">
        <v>41426</v>
      </c>
      <c r="C9" s="25">
        <v>0.44236111111111115</v>
      </c>
      <c r="D9" s="26">
        <v>126</v>
      </c>
      <c r="E9" s="27">
        <v>99</v>
      </c>
      <c r="F9" s="36">
        <v>0</v>
      </c>
      <c r="G9" s="29">
        <v>3</v>
      </c>
      <c r="H9" s="37"/>
      <c r="I9" s="31">
        <v>1</v>
      </c>
      <c r="J9" s="31">
        <v>1</v>
      </c>
      <c r="K9" s="32">
        <v>0</v>
      </c>
      <c r="L9" s="27">
        <v>8</v>
      </c>
      <c r="M9" s="38"/>
      <c r="N9" s="39"/>
      <c r="O9" s="61">
        <f t="shared" si="3"/>
        <v>4.0000000025611371</v>
      </c>
      <c r="P9" s="64">
        <f t="shared" si="8"/>
        <v>0.11666666669771075</v>
      </c>
      <c r="Q9" s="61">
        <f t="shared" si="0"/>
        <v>0</v>
      </c>
      <c r="R9" s="62">
        <f t="shared" si="1"/>
        <v>4122</v>
      </c>
      <c r="S9" s="63">
        <f t="shared" si="4"/>
        <v>0</v>
      </c>
      <c r="T9" s="71">
        <f t="shared" si="2"/>
        <v>84.1</v>
      </c>
      <c r="U9" s="61">
        <f t="shared" si="9"/>
        <v>0</v>
      </c>
      <c r="V9" s="64">
        <f t="shared" si="5"/>
        <v>0</v>
      </c>
      <c r="W9" s="64">
        <f t="shared" si="10"/>
        <v>1.0999999999999999E-2</v>
      </c>
      <c r="X9" s="72">
        <f t="shared" si="11"/>
        <v>5.3339739288674054E-3</v>
      </c>
      <c r="Y9" s="64">
        <f t="shared" si="12"/>
        <v>0.75044583613426308</v>
      </c>
      <c r="Z9" s="64">
        <f t="shared" si="13"/>
        <v>0.75044583613426308</v>
      </c>
      <c r="AB9" s="70">
        <f t="shared" si="6"/>
        <v>9.9</v>
      </c>
    </row>
    <row r="10" spans="1:28" s="40" customFormat="1" ht="20.25" customHeight="1">
      <c r="A10" s="35">
        <f t="shared" si="7"/>
        <v>5</v>
      </c>
      <c r="B10" s="24">
        <v>41426</v>
      </c>
      <c r="C10" s="25">
        <v>0.44375000000000003</v>
      </c>
      <c r="D10" s="26">
        <v>100</v>
      </c>
      <c r="E10" s="27">
        <v>85</v>
      </c>
      <c r="F10" s="36">
        <v>0</v>
      </c>
      <c r="G10" s="29">
        <v>4</v>
      </c>
      <c r="H10" s="37"/>
      <c r="I10" s="31">
        <v>1</v>
      </c>
      <c r="J10" s="31">
        <v>1</v>
      </c>
      <c r="K10" s="32">
        <v>0</v>
      </c>
      <c r="L10" s="27">
        <v>8</v>
      </c>
      <c r="M10" s="38"/>
      <c r="N10" s="39"/>
      <c r="O10" s="61">
        <f t="shared" si="3"/>
        <v>1.9999999960418791</v>
      </c>
      <c r="P10" s="64">
        <f t="shared" si="8"/>
        <v>0.1499999999650754</v>
      </c>
      <c r="Q10" s="61">
        <f t="shared" si="0"/>
        <v>0</v>
      </c>
      <c r="R10" s="62">
        <f t="shared" si="1"/>
        <v>4122</v>
      </c>
      <c r="S10" s="63">
        <f t="shared" si="4"/>
        <v>0</v>
      </c>
      <c r="T10" s="71">
        <f t="shared" si="2"/>
        <v>84.1</v>
      </c>
      <c r="U10" s="61">
        <f t="shared" si="9"/>
        <v>0</v>
      </c>
      <c r="V10" s="64">
        <f>V9+U10/1000</f>
        <v>0</v>
      </c>
      <c r="W10" s="64">
        <f t="shared" si="10"/>
        <v>1.4999999999999999E-2</v>
      </c>
      <c r="X10" s="72">
        <f t="shared" si="11"/>
        <v>6.6731802007924529E-3</v>
      </c>
      <c r="Y10" s="64">
        <f t="shared" si="12"/>
        <v>0.9599015830578379</v>
      </c>
      <c r="Z10" s="64">
        <f t="shared" si="13"/>
        <v>0.9599015830578379</v>
      </c>
      <c r="AB10" s="70">
        <f t="shared" si="6"/>
        <v>8.5</v>
      </c>
    </row>
    <row r="11" spans="1:28" s="40" customFormat="1" ht="20.25" customHeight="1">
      <c r="A11" s="35">
        <f t="shared" si="7"/>
        <v>6</v>
      </c>
      <c r="B11" s="24">
        <v>41426</v>
      </c>
      <c r="C11" s="25">
        <v>0.46388888888888885</v>
      </c>
      <c r="D11" s="26">
        <v>84</v>
      </c>
      <c r="E11" s="27">
        <v>71</v>
      </c>
      <c r="F11" s="36">
        <v>0</v>
      </c>
      <c r="G11" s="29">
        <v>2</v>
      </c>
      <c r="H11" s="37"/>
      <c r="I11" s="31">
        <v>1</v>
      </c>
      <c r="J11" s="31">
        <v>1</v>
      </c>
      <c r="K11" s="32">
        <v>0</v>
      </c>
      <c r="L11" s="27">
        <v>8</v>
      </c>
      <c r="M11" s="38"/>
      <c r="N11" s="39"/>
      <c r="O11" s="61">
        <f t="shared" si="3"/>
        <v>29.000000000232831</v>
      </c>
      <c r="P11" s="64">
        <f t="shared" si="8"/>
        <v>0.63333333330228925</v>
      </c>
      <c r="Q11" s="61">
        <f t="shared" si="0"/>
        <v>0</v>
      </c>
      <c r="R11" s="62">
        <f t="shared" si="1"/>
        <v>4122</v>
      </c>
      <c r="S11" s="63">
        <f t="shared" si="4"/>
        <v>0</v>
      </c>
      <c r="T11" s="71">
        <f t="shared" si="2"/>
        <v>84.1</v>
      </c>
      <c r="U11" s="61">
        <f t="shared" si="9"/>
        <v>0</v>
      </c>
      <c r="V11" s="64">
        <f t="shared" ref="V11:V18" si="14">V10+U11/1000</f>
        <v>0</v>
      </c>
      <c r="W11" s="64">
        <f t="shared" si="10"/>
        <v>1.7000000000000001E-2</v>
      </c>
      <c r="X11" s="72">
        <f t="shared" si="11"/>
        <v>8.348622356634576E-3</v>
      </c>
      <c r="Y11" s="64">
        <f t="shared" si="12"/>
        <v>0.9015146158583246</v>
      </c>
      <c r="Z11" s="64">
        <f t="shared" si="13"/>
        <v>0.9015146158583246</v>
      </c>
      <c r="AB11" s="70">
        <f t="shared" si="6"/>
        <v>7.1</v>
      </c>
    </row>
    <row r="12" spans="1:28" s="40" customFormat="1" ht="20.25" customHeight="1">
      <c r="A12" s="35">
        <f t="shared" si="7"/>
        <v>7</v>
      </c>
      <c r="B12" s="24">
        <v>41426</v>
      </c>
      <c r="C12" s="25">
        <v>0.47083333333333338</v>
      </c>
      <c r="D12" s="26">
        <v>70</v>
      </c>
      <c r="E12" s="27">
        <v>53</v>
      </c>
      <c r="F12" s="36">
        <v>0</v>
      </c>
      <c r="G12" s="29">
        <v>3</v>
      </c>
      <c r="H12" s="37"/>
      <c r="I12" s="31">
        <v>1</v>
      </c>
      <c r="J12" s="31">
        <v>1</v>
      </c>
      <c r="K12" s="32">
        <v>0</v>
      </c>
      <c r="L12" s="27">
        <v>8</v>
      </c>
      <c r="M12" s="38"/>
      <c r="N12" s="39"/>
      <c r="O12" s="61">
        <f t="shared" si="3"/>
        <v>10.000000001164153</v>
      </c>
      <c r="P12" s="64">
        <f t="shared" si="8"/>
        <v>0.79999999998835847</v>
      </c>
      <c r="Q12" s="61">
        <f t="shared" si="0"/>
        <v>0</v>
      </c>
      <c r="R12" s="62">
        <f t="shared" si="1"/>
        <v>4122</v>
      </c>
      <c r="S12" s="63">
        <f t="shared" si="4"/>
        <v>0</v>
      </c>
      <c r="T12" s="71">
        <f t="shared" si="2"/>
        <v>84.1</v>
      </c>
      <c r="U12" s="61">
        <f t="shared" si="9"/>
        <v>0</v>
      </c>
      <c r="V12" s="64">
        <f t="shared" si="14"/>
        <v>0</v>
      </c>
      <c r="W12" s="64">
        <f t="shared" si="10"/>
        <v>0.02</v>
      </c>
      <c r="X12" s="72">
        <f t="shared" si="11"/>
        <v>1.1135036047529152E-2</v>
      </c>
      <c r="Y12" s="64">
        <f t="shared" si="12"/>
        <v>0.75948192796864011</v>
      </c>
      <c r="Z12" s="64">
        <f t="shared" si="13"/>
        <v>0.75948192796864011</v>
      </c>
      <c r="AB12" s="70">
        <f t="shared" si="6"/>
        <v>5.3</v>
      </c>
    </row>
    <row r="13" spans="1:28" s="40" customFormat="1" ht="20.25" customHeight="1">
      <c r="A13" s="35">
        <f t="shared" si="7"/>
        <v>8</v>
      </c>
      <c r="B13" s="24">
        <v>41426</v>
      </c>
      <c r="C13" s="25">
        <v>0.48402777777777778</v>
      </c>
      <c r="D13" s="26">
        <v>58</v>
      </c>
      <c r="E13" s="27">
        <v>47</v>
      </c>
      <c r="F13" s="36">
        <v>0</v>
      </c>
      <c r="G13" s="29">
        <v>7</v>
      </c>
      <c r="H13" s="37"/>
      <c r="I13" s="31">
        <v>1</v>
      </c>
      <c r="J13" s="31">
        <v>1</v>
      </c>
      <c r="K13" s="32">
        <v>0</v>
      </c>
      <c r="L13" s="27">
        <v>8</v>
      </c>
      <c r="M13" s="38"/>
      <c r="N13" s="39"/>
      <c r="O13" s="61">
        <f t="shared" si="3"/>
        <v>18.999999999068677</v>
      </c>
      <c r="P13" s="64">
        <f t="shared" si="8"/>
        <v>1.1166666666395031</v>
      </c>
      <c r="Q13" s="61">
        <f t="shared" si="0"/>
        <v>0</v>
      </c>
      <c r="R13" s="62">
        <f t="shared" si="1"/>
        <v>4122</v>
      </c>
      <c r="S13" s="63">
        <f t="shared" si="4"/>
        <v>0</v>
      </c>
      <c r="T13" s="71">
        <f t="shared" si="2"/>
        <v>84.1</v>
      </c>
      <c r="U13" s="61">
        <f t="shared" si="9"/>
        <v>0</v>
      </c>
      <c r="V13" s="64">
        <f t="shared" si="14"/>
        <v>0</v>
      </c>
      <c r="W13" s="64">
        <f t="shared" si="10"/>
        <v>2.7E-2</v>
      </c>
      <c r="X13" s="72">
        <f t="shared" si="11"/>
        <v>1.2256991857217403E-2</v>
      </c>
      <c r="Y13" s="64">
        <f t="shared" si="12"/>
        <v>1.0149041081485399</v>
      </c>
      <c r="Z13" s="64">
        <f t="shared" si="13"/>
        <v>1.0149041081485399</v>
      </c>
      <c r="AB13" s="70">
        <f t="shared" si="6"/>
        <v>4.7</v>
      </c>
    </row>
    <row r="14" spans="1:28" s="40" customFormat="1" ht="20.25" customHeight="1">
      <c r="A14" s="35">
        <f t="shared" si="7"/>
        <v>9</v>
      </c>
      <c r="B14" s="24">
        <v>41426</v>
      </c>
      <c r="C14" s="25">
        <v>0.50208333333333333</v>
      </c>
      <c r="D14" s="26">
        <v>48</v>
      </c>
      <c r="E14" s="27">
        <v>40</v>
      </c>
      <c r="F14" s="36">
        <v>0</v>
      </c>
      <c r="G14" s="29">
        <v>9</v>
      </c>
      <c r="H14" s="37"/>
      <c r="I14" s="31">
        <v>1</v>
      </c>
      <c r="J14" s="31">
        <v>1</v>
      </c>
      <c r="K14" s="32">
        <v>0</v>
      </c>
      <c r="L14" s="27">
        <v>8</v>
      </c>
      <c r="M14" s="38"/>
      <c r="N14" s="39"/>
      <c r="O14" s="61">
        <f t="shared" si="3"/>
        <v>26.000000000931323</v>
      </c>
      <c r="P14" s="64">
        <f t="shared" si="8"/>
        <v>1.5499999999883585</v>
      </c>
      <c r="Q14" s="61">
        <f t="shared" si="0"/>
        <v>0</v>
      </c>
      <c r="R14" s="62">
        <f t="shared" si="1"/>
        <v>4122</v>
      </c>
      <c r="S14" s="63">
        <f t="shared" si="4"/>
        <v>0</v>
      </c>
      <c r="T14" s="71">
        <f t="shared" si="2"/>
        <v>84.1</v>
      </c>
      <c r="U14" s="61">
        <f t="shared" si="9"/>
        <v>0</v>
      </c>
      <c r="V14" s="64">
        <f t="shared" si="14"/>
        <v>0</v>
      </c>
      <c r="W14" s="64">
        <f t="shared" si="10"/>
        <v>3.5999999999999997E-2</v>
      </c>
      <c r="X14" s="72">
        <f t="shared" si="11"/>
        <v>1.3709603025119262E-2</v>
      </c>
      <c r="Y14" s="64">
        <f t="shared" si="12"/>
        <v>1.1573145352642142</v>
      </c>
      <c r="Z14" s="64">
        <f t="shared" si="13"/>
        <v>1.1573145352642142</v>
      </c>
      <c r="AB14" s="70">
        <f t="shared" si="6"/>
        <v>4</v>
      </c>
    </row>
    <row r="15" spans="1:28" s="40" customFormat="1" ht="20.25" customHeight="1">
      <c r="A15" s="35">
        <f t="shared" si="7"/>
        <v>10</v>
      </c>
      <c r="B15" s="24">
        <v>41426</v>
      </c>
      <c r="C15" s="25">
        <v>0.52569444444444446</v>
      </c>
      <c r="D15" s="26">
        <v>40</v>
      </c>
      <c r="E15" s="27">
        <v>32</v>
      </c>
      <c r="F15" s="36">
        <v>0</v>
      </c>
      <c r="G15" s="29">
        <v>3</v>
      </c>
      <c r="H15" s="37"/>
      <c r="I15" s="31">
        <v>1</v>
      </c>
      <c r="J15" s="31">
        <v>1</v>
      </c>
      <c r="K15" s="32">
        <v>0</v>
      </c>
      <c r="L15" s="27">
        <v>8</v>
      </c>
      <c r="M15" s="38"/>
      <c r="N15" s="39"/>
      <c r="O15" s="61">
        <f t="shared" si="3"/>
        <v>33.999999995576218</v>
      </c>
      <c r="P15" s="64">
        <f t="shared" si="8"/>
        <v>2.1166666665812954</v>
      </c>
      <c r="Q15" s="61">
        <f t="shared" si="0"/>
        <v>0</v>
      </c>
      <c r="R15" s="62">
        <f t="shared" si="1"/>
        <v>4122</v>
      </c>
      <c r="S15" s="63">
        <f t="shared" si="4"/>
        <v>0</v>
      </c>
      <c r="T15" s="71">
        <f t="shared" si="2"/>
        <v>84.1</v>
      </c>
      <c r="U15" s="61">
        <f t="shared" si="9"/>
        <v>0</v>
      </c>
      <c r="V15" s="64">
        <f t="shared" si="14"/>
        <v>0</v>
      </c>
      <c r="W15" s="64">
        <f t="shared" si="10"/>
        <v>3.9E-2</v>
      </c>
      <c r="X15" s="72">
        <f t="shared" si="11"/>
        <v>1.5581690483983997E-2</v>
      </c>
      <c r="Y15" s="64">
        <f t="shared" si="12"/>
        <v>1.0010754135013404</v>
      </c>
      <c r="Z15" s="64">
        <f t="shared" si="13"/>
        <v>1.0010754135013404</v>
      </c>
      <c r="AB15" s="70">
        <f t="shared" si="6"/>
        <v>3.2</v>
      </c>
    </row>
    <row r="16" spans="1:28" s="40" customFormat="1" ht="20.25" customHeight="1">
      <c r="A16" s="35">
        <f t="shared" si="7"/>
        <v>11</v>
      </c>
      <c r="B16" s="24">
        <v>41426</v>
      </c>
      <c r="C16" s="25">
        <v>0.55208333333333337</v>
      </c>
      <c r="D16" s="26">
        <v>32</v>
      </c>
      <c r="E16" s="27">
        <v>24</v>
      </c>
      <c r="F16" s="36">
        <v>0</v>
      </c>
      <c r="G16" s="29">
        <v>9</v>
      </c>
      <c r="H16" s="37"/>
      <c r="I16" s="31">
        <v>1</v>
      </c>
      <c r="J16" s="31">
        <v>1</v>
      </c>
      <c r="K16" s="32">
        <v>0</v>
      </c>
      <c r="L16" s="27">
        <v>8</v>
      </c>
      <c r="M16" s="38"/>
      <c r="N16" s="39"/>
      <c r="O16" s="61">
        <f t="shared" si="3"/>
        <v>38.000000008614734</v>
      </c>
      <c r="P16" s="64">
        <f t="shared" si="8"/>
        <v>2.7500000000582077</v>
      </c>
      <c r="Q16" s="61">
        <f t="shared" si="0"/>
        <v>0</v>
      </c>
      <c r="R16" s="62">
        <f t="shared" si="1"/>
        <v>4122</v>
      </c>
      <c r="S16" s="63">
        <f t="shared" si="4"/>
        <v>0</v>
      </c>
      <c r="T16" s="71">
        <f t="shared" si="2"/>
        <v>84.1</v>
      </c>
      <c r="U16" s="61">
        <f t="shared" si="9"/>
        <v>0</v>
      </c>
      <c r="V16" s="64">
        <f t="shared" si="14"/>
        <v>0</v>
      </c>
      <c r="W16" s="64">
        <f t="shared" si="10"/>
        <v>4.8000000000000001E-2</v>
      </c>
      <c r="X16" s="72">
        <f t="shared" si="11"/>
        <v>1.7709417106668224E-2</v>
      </c>
      <c r="Y16" s="64">
        <f t="shared" si="12"/>
        <v>0.93700648234146433</v>
      </c>
      <c r="Z16" s="64">
        <f t="shared" si="13"/>
        <v>0.93700648234146433</v>
      </c>
      <c r="AB16" s="70">
        <f t="shared" si="6"/>
        <v>2.4</v>
      </c>
    </row>
    <row r="17" spans="1:28" s="40" customFormat="1" ht="20.25" customHeight="1">
      <c r="A17" s="35">
        <f t="shared" si="7"/>
        <v>12</v>
      </c>
      <c r="B17" s="24">
        <v>41426</v>
      </c>
      <c r="C17" s="25">
        <v>0.5756944444444444</v>
      </c>
      <c r="D17" s="26">
        <v>25</v>
      </c>
      <c r="E17" s="27">
        <v>15</v>
      </c>
      <c r="F17" s="36">
        <v>0</v>
      </c>
      <c r="G17" s="29">
        <v>7</v>
      </c>
      <c r="H17" s="37"/>
      <c r="I17" s="31">
        <v>1</v>
      </c>
      <c r="J17" s="31">
        <v>1</v>
      </c>
      <c r="K17" s="32">
        <v>0</v>
      </c>
      <c r="L17" s="27">
        <v>8</v>
      </c>
      <c r="M17" s="38"/>
      <c r="N17" s="39"/>
      <c r="O17" s="61">
        <f t="shared" si="3"/>
        <v>33.999999995576218</v>
      </c>
      <c r="P17" s="64">
        <f t="shared" si="8"/>
        <v>3.3166666666511446</v>
      </c>
      <c r="Q17" s="61">
        <f t="shared" si="0"/>
        <v>0</v>
      </c>
      <c r="R17" s="62">
        <f t="shared" si="1"/>
        <v>4122</v>
      </c>
      <c r="S17" s="63">
        <f t="shared" si="4"/>
        <v>0</v>
      </c>
      <c r="T17" s="71">
        <f>T18</f>
        <v>84.1</v>
      </c>
      <c r="U17" s="61">
        <f t="shared" si="9"/>
        <v>0</v>
      </c>
      <c r="V17" s="64">
        <f t="shared" si="14"/>
        <v>0</v>
      </c>
      <c r="W17" s="64">
        <f t="shared" si="10"/>
        <v>5.5E-2</v>
      </c>
      <c r="X17" s="72">
        <f t="shared" si="11"/>
        <v>2.045232438773039E-2</v>
      </c>
      <c r="Y17" s="64">
        <f t="shared" si="12"/>
        <v>0.68315232390713698</v>
      </c>
      <c r="Z17" s="64">
        <f t="shared" si="13"/>
        <v>0.68315232390713698</v>
      </c>
      <c r="AB17" s="70">
        <f t="shared" si="6"/>
        <v>1.5</v>
      </c>
    </row>
    <row r="18" spans="1:28" s="40" customFormat="1" ht="20.25" customHeight="1">
      <c r="A18" s="35">
        <f t="shared" si="7"/>
        <v>13</v>
      </c>
      <c r="B18" s="24">
        <v>41426</v>
      </c>
      <c r="C18" s="25">
        <v>0.6</v>
      </c>
      <c r="D18" s="26">
        <v>15</v>
      </c>
      <c r="E18" s="27">
        <v>0</v>
      </c>
      <c r="F18" s="36">
        <v>580</v>
      </c>
      <c r="G18" s="29">
        <v>135</v>
      </c>
      <c r="H18" s="37"/>
      <c r="I18" s="31">
        <v>1</v>
      </c>
      <c r="J18" s="31">
        <v>1</v>
      </c>
      <c r="K18" s="32">
        <v>0</v>
      </c>
      <c r="L18" s="27">
        <v>8</v>
      </c>
      <c r="M18" s="38" t="s">
        <v>54</v>
      </c>
      <c r="N18" s="39" t="s">
        <v>52</v>
      </c>
      <c r="O18" s="61">
        <f t="shared" si="3"/>
        <v>34.999999998835847</v>
      </c>
      <c r="P18" s="64">
        <f t="shared" si="8"/>
        <v>3.8999999999650754</v>
      </c>
      <c r="Q18" s="61">
        <f t="shared" si="0"/>
        <v>568.55893238434157</v>
      </c>
      <c r="R18" s="62">
        <f t="shared" si="1"/>
        <v>4122</v>
      </c>
      <c r="S18" s="63">
        <f t="shared" si="4"/>
        <v>0</v>
      </c>
      <c r="T18" s="71">
        <v>84.1</v>
      </c>
      <c r="U18" s="61">
        <f t="shared" si="9"/>
        <v>478.15806213523121</v>
      </c>
      <c r="V18" s="64">
        <f t="shared" si="14"/>
        <v>0.47815806213523121</v>
      </c>
      <c r="W18" s="64">
        <f t="shared" si="10"/>
        <v>0.19</v>
      </c>
      <c r="X18" s="72">
        <f t="shared" si="11"/>
        <v>2.5999999999999999E-2</v>
      </c>
      <c r="Y18" s="64">
        <f t="shared" si="12"/>
        <v>0.15070805164822842</v>
      </c>
      <c r="Z18" s="64">
        <f t="shared" si="13"/>
        <v>0.62886611378345969</v>
      </c>
      <c r="AB18" s="70">
        <f t="shared" si="6"/>
        <v>0</v>
      </c>
    </row>
  </sheetData>
  <mergeCells count="22">
    <mergeCell ref="W4:Y4"/>
    <mergeCell ref="U4:V4"/>
    <mergeCell ref="O4:P4"/>
    <mergeCell ref="Q3:S3"/>
    <mergeCell ref="R4:S4"/>
    <mergeCell ref="A2:E2"/>
    <mergeCell ref="F2:H2"/>
    <mergeCell ref="I2:K2"/>
    <mergeCell ref="L2:M2"/>
    <mergeCell ref="A1:E1"/>
    <mergeCell ref="F1:H1"/>
    <mergeCell ref="I1:K1"/>
    <mergeCell ref="L1:N1"/>
    <mergeCell ref="B4:B5"/>
    <mergeCell ref="F4:G4"/>
    <mergeCell ref="D4:E4"/>
    <mergeCell ref="A3:N3"/>
    <mergeCell ref="A4:A5"/>
    <mergeCell ref="C4:C5"/>
    <mergeCell ref="I4:L4"/>
    <mergeCell ref="M4:M5"/>
    <mergeCell ref="N4:N5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6"/>
  <sheetViews>
    <sheetView workbookViewId="0">
      <selection activeCell="I36" sqref="I36"/>
    </sheetView>
  </sheetViews>
  <sheetFormatPr baseColWidth="10" defaultColWidth="10.7109375" defaultRowHeight="12" x14ac:dyDescent="0"/>
  <cols>
    <col min="1" max="1" width="7.28515625" style="12" customWidth="1"/>
    <col min="2" max="3" width="8.42578125" style="10" customWidth="1"/>
    <col min="4" max="4" width="11.5703125" style="10" customWidth="1"/>
    <col min="5" max="5" width="8.28515625" style="10" customWidth="1"/>
    <col min="6" max="6" width="7.42578125" style="10" customWidth="1"/>
    <col min="7" max="7" width="13.140625" style="10" customWidth="1"/>
    <col min="8" max="8" width="9" style="10" customWidth="1"/>
    <col min="9" max="9" width="11.42578125" style="10" customWidth="1"/>
    <col min="10" max="16384" width="10.7109375" style="10"/>
  </cols>
  <sheetData>
    <row r="1" spans="1:21" ht="23.25" customHeight="1">
      <c r="A1" s="113" t="str">
        <f>CONCATENATE(M1," Depressurization Table")</f>
        <v>UT-GOM2-1-H005-1FB-3 Depressurization Table</v>
      </c>
      <c r="B1" s="113"/>
      <c r="C1" s="113"/>
      <c r="D1" s="113"/>
      <c r="E1" s="113"/>
      <c r="F1" s="113"/>
      <c r="G1" s="113"/>
      <c r="H1" s="113"/>
      <c r="I1" s="113"/>
      <c r="M1" s="22" t="s">
        <v>53</v>
      </c>
      <c r="N1" s="11"/>
      <c r="O1" s="11"/>
      <c r="P1" s="11"/>
      <c r="Q1" s="11"/>
      <c r="R1" s="11"/>
      <c r="S1" s="11"/>
      <c r="T1" s="11"/>
      <c r="U1" s="11"/>
    </row>
    <row r="2" spans="1:21" ht="20.25" customHeight="1">
      <c r="M2" s="10" t="s">
        <v>27</v>
      </c>
    </row>
    <row r="3" spans="1:21" s="16" customFormat="1" ht="63" customHeight="1">
      <c r="A3" s="13" t="s">
        <v>17</v>
      </c>
      <c r="B3" s="13" t="s">
        <v>18</v>
      </c>
      <c r="C3" s="13" t="s">
        <v>19</v>
      </c>
      <c r="D3" s="14" t="s">
        <v>20</v>
      </c>
      <c r="E3" s="14" t="s">
        <v>21</v>
      </c>
      <c r="F3" s="14" t="s">
        <v>22</v>
      </c>
      <c r="G3" s="14" t="s">
        <v>23</v>
      </c>
      <c r="H3" s="15" t="s">
        <v>24</v>
      </c>
      <c r="I3" s="13" t="s">
        <v>25</v>
      </c>
    </row>
    <row r="4" spans="1:21">
      <c r="A4" s="17">
        <f t="shared" ref="A4:A16" ca="1" si="0">INDIRECT(CONCATENATE("'",$M$1,"'!A",ROW()+2))</f>
        <v>1</v>
      </c>
      <c r="B4" s="18">
        <f t="shared" ref="B4:B16" ca="1" si="1">INDIRECT(CONCATENATE("'",$M$1,"'!D",ROW()+2))/10</f>
        <v>19.7</v>
      </c>
      <c r="C4" s="18">
        <f t="shared" ref="C4:C16" ca="1" si="2">INDIRECT(CONCATENATE("'",$M$1,"'!E",ROW()+2))/10</f>
        <v>19.7</v>
      </c>
      <c r="D4" s="19">
        <f ca="1">(INDIRECT(CONCATENATE("'",$M$1,"'!R",ROW()+2))+INDIRECT(CONCATENATE("'",$M$1,"'!T",ROW()+2)))/1000</f>
        <v>4.2061000000000002</v>
      </c>
      <c r="E4" s="18">
        <f ca="1">INDIRECT(CONCATENATE("'",$M$1,"'!t",ROW()+2))</f>
        <v>84.1</v>
      </c>
      <c r="F4" s="68" t="str">
        <f ca="1">IF(INDIRECT(CONCATENATE("'",$M$1,"'!m",ROW()+2))="","",INDIRECT(CONCATENATE("'",$M$1,"'!m",ROW()+2)))</f>
        <v/>
      </c>
      <c r="G4" s="19">
        <f t="shared" ref="G4:G16" ca="1" si="3">INDIRECT(CONCATENATE("'",$M$1,"'!x",ROW()+2))</f>
        <v>0</v>
      </c>
      <c r="H4" s="20">
        <f ca="1">D4/MAX(D4:D16)</f>
        <v>7.6923076923076927E-2</v>
      </c>
      <c r="I4" s="19">
        <f ca="1">INDIRECT(CONCATENATE("'",$M$1,"'!y",ROW()+2))</f>
        <v>0</v>
      </c>
      <c r="J4" s="21"/>
    </row>
    <row r="5" spans="1:21">
      <c r="A5" s="17">
        <f t="shared" ca="1" si="0"/>
        <v>2</v>
      </c>
      <c r="B5" s="18">
        <f t="shared" ca="1" si="1"/>
        <v>19.7</v>
      </c>
      <c r="C5" s="18">
        <f t="shared" ca="1" si="2"/>
        <v>16</v>
      </c>
      <c r="D5" s="19">
        <f t="shared" ref="D5:D16" ca="1" si="4">D4+(INDIRECT(CONCATENATE("'",$M$1,"'!R",ROW()+2))+INDIRECT(CONCATENATE("'",$M$1,"'!T",ROW()+2)))/1000</f>
        <v>8.4122000000000003</v>
      </c>
      <c r="E5" s="18">
        <f t="shared" ref="E5:E16" ca="1" si="5">INDIRECT(CONCATENATE("'",$M$1,"'!t",ROW()+2))</f>
        <v>84.1</v>
      </c>
      <c r="F5" s="68" t="str">
        <f t="shared" ref="F5:F16" ca="1" si="6">IF(INDIRECT(CONCATENATE("'",$M$1,"'!m",ROW()+2))="","",INDIRECT(CONCATENATE("'",$M$1,"'!m",ROW()+2)))</f>
        <v/>
      </c>
      <c r="G5" s="19">
        <f t="shared" ca="1" si="3"/>
        <v>2.0099232515257931E-3</v>
      </c>
      <c r="H5" s="20">
        <f ca="1">D5/MAX(D5:D16)</f>
        <v>0.15384615384615385</v>
      </c>
      <c r="I5" s="19">
        <f t="shared" ref="I5:I16" ca="1" si="7">INDIRECT(CONCATENATE("'",$M$1,"'!y",ROW()+2))</f>
        <v>0.39333313607438647</v>
      </c>
      <c r="J5" s="21"/>
    </row>
    <row r="6" spans="1:21">
      <c r="A6" s="17">
        <f t="shared" ca="1" si="0"/>
        <v>3</v>
      </c>
      <c r="B6" s="18">
        <f t="shared" ca="1" si="1"/>
        <v>16.100000000000001</v>
      </c>
      <c r="C6" s="18">
        <f t="shared" ca="1" si="2"/>
        <v>12.5</v>
      </c>
      <c r="D6" s="19">
        <f t="shared" ca="1" si="4"/>
        <v>12.618300000000001</v>
      </c>
      <c r="E6" s="18">
        <f t="shared" ca="1" si="5"/>
        <v>84.1</v>
      </c>
      <c r="F6" s="68" t="str">
        <f t="shared" ca="1" si="6"/>
        <v/>
      </c>
      <c r="G6" s="19">
        <f t="shared" ca="1" si="3"/>
        <v>3.5187173641519302E-3</v>
      </c>
      <c r="H6" s="20">
        <f ca="1">D6/MAX(D6:D16)</f>
        <v>0.23076923076923081</v>
      </c>
      <c r="I6" s="19">
        <f t="shared" ca="1" si="7"/>
        <v>0.66826428681771621</v>
      </c>
      <c r="J6" s="21"/>
    </row>
    <row r="7" spans="1:21">
      <c r="A7" s="17">
        <f t="shared" ca="1" si="0"/>
        <v>4</v>
      </c>
      <c r="B7" s="18">
        <f t="shared" ca="1" si="1"/>
        <v>12.6</v>
      </c>
      <c r="C7" s="18">
        <f t="shared" ca="1" si="2"/>
        <v>9.9</v>
      </c>
      <c r="D7" s="19">
        <f t="shared" ca="1" si="4"/>
        <v>16.824400000000001</v>
      </c>
      <c r="E7" s="18">
        <f t="shared" ca="1" si="5"/>
        <v>84.1</v>
      </c>
      <c r="F7" s="68" t="str">
        <f t="shared" ca="1" si="6"/>
        <v/>
      </c>
      <c r="G7" s="19">
        <f t="shared" ca="1" si="3"/>
        <v>5.3339739288674054E-3</v>
      </c>
      <c r="H7" s="20">
        <f ca="1">D7/MAX(D7:D16)</f>
        <v>0.30769230769230771</v>
      </c>
      <c r="I7" s="19">
        <f t="shared" ca="1" si="7"/>
        <v>0.75044583613426308</v>
      </c>
      <c r="J7" s="21"/>
    </row>
    <row r="8" spans="1:21">
      <c r="A8" s="17">
        <f t="shared" ca="1" si="0"/>
        <v>5</v>
      </c>
      <c r="B8" s="18">
        <f t="shared" ca="1" si="1"/>
        <v>10</v>
      </c>
      <c r="C8" s="18">
        <f t="shared" ca="1" si="2"/>
        <v>8.5</v>
      </c>
      <c r="D8" s="19">
        <f t="shared" ca="1" si="4"/>
        <v>21.0305</v>
      </c>
      <c r="E8" s="18">
        <f t="shared" ca="1" si="5"/>
        <v>84.1</v>
      </c>
      <c r="F8" s="68" t="str">
        <f t="shared" ca="1" si="6"/>
        <v/>
      </c>
      <c r="G8" s="19">
        <f t="shared" ca="1" si="3"/>
        <v>6.6731802007924529E-3</v>
      </c>
      <c r="H8" s="20">
        <f ca="1">D8/MAX(D8:D16)</f>
        <v>0.38461538461538464</v>
      </c>
      <c r="I8" s="19">
        <f t="shared" ca="1" si="7"/>
        <v>0.9599015830578379</v>
      </c>
      <c r="J8" s="21"/>
    </row>
    <row r="9" spans="1:21">
      <c r="A9" s="17">
        <f t="shared" ca="1" si="0"/>
        <v>6</v>
      </c>
      <c r="B9" s="18">
        <f t="shared" ca="1" si="1"/>
        <v>8.4</v>
      </c>
      <c r="C9" s="18">
        <f t="shared" ca="1" si="2"/>
        <v>7.1</v>
      </c>
      <c r="D9" s="19">
        <f t="shared" ca="1" si="4"/>
        <v>25.236599999999999</v>
      </c>
      <c r="E9" s="18">
        <f t="shared" ca="1" si="5"/>
        <v>84.1</v>
      </c>
      <c r="F9" s="68" t="str">
        <f t="shared" ca="1" si="6"/>
        <v/>
      </c>
      <c r="G9" s="19">
        <f t="shared" ca="1" si="3"/>
        <v>8.348622356634576E-3</v>
      </c>
      <c r="H9" s="20">
        <f ca="1">D9/MAX(D9:D16)</f>
        <v>0.46153846153846156</v>
      </c>
      <c r="I9" s="19">
        <f t="shared" ca="1" si="7"/>
        <v>0.9015146158583246</v>
      </c>
      <c r="J9" s="21"/>
    </row>
    <row r="10" spans="1:21">
      <c r="A10" s="17">
        <f t="shared" ca="1" si="0"/>
        <v>7</v>
      </c>
      <c r="B10" s="18">
        <f t="shared" ca="1" si="1"/>
        <v>7</v>
      </c>
      <c r="C10" s="18">
        <f t="shared" ca="1" si="2"/>
        <v>5.3</v>
      </c>
      <c r="D10" s="19">
        <f t="shared" ca="1" si="4"/>
        <v>29.442699999999999</v>
      </c>
      <c r="E10" s="18">
        <f t="shared" ca="1" si="5"/>
        <v>84.1</v>
      </c>
      <c r="F10" s="68" t="str">
        <f t="shared" ca="1" si="6"/>
        <v/>
      </c>
      <c r="G10" s="19">
        <f t="shared" ca="1" si="3"/>
        <v>1.1135036047529152E-2</v>
      </c>
      <c r="H10" s="20">
        <f ca="1">D10/MAX(D10:D16)</f>
        <v>0.53846153846153844</v>
      </c>
      <c r="I10" s="19">
        <f t="shared" ca="1" si="7"/>
        <v>0.75948192796864011</v>
      </c>
      <c r="J10" s="21"/>
    </row>
    <row r="11" spans="1:21">
      <c r="A11" s="17">
        <f t="shared" ca="1" si="0"/>
        <v>8</v>
      </c>
      <c r="B11" s="18">
        <f t="shared" ca="1" si="1"/>
        <v>5.8</v>
      </c>
      <c r="C11" s="18">
        <f t="shared" ca="1" si="2"/>
        <v>4.7</v>
      </c>
      <c r="D11" s="19">
        <f t="shared" ca="1" si="4"/>
        <v>33.648800000000001</v>
      </c>
      <c r="E11" s="18">
        <f t="shared" ca="1" si="5"/>
        <v>84.1</v>
      </c>
      <c r="F11" s="68" t="str">
        <f t="shared" ca="1" si="6"/>
        <v/>
      </c>
      <c r="G11" s="19">
        <f t="shared" ca="1" si="3"/>
        <v>1.2256991857217403E-2</v>
      </c>
      <c r="H11" s="20">
        <f ca="1">D11/MAX(D11:D16)</f>
        <v>0.61538461538461542</v>
      </c>
      <c r="I11" s="19">
        <f t="shared" ca="1" si="7"/>
        <v>1.0149041081485399</v>
      </c>
      <c r="J11" s="21"/>
    </row>
    <row r="12" spans="1:21">
      <c r="A12" s="17">
        <f t="shared" ca="1" si="0"/>
        <v>9</v>
      </c>
      <c r="B12" s="18">
        <f t="shared" ca="1" si="1"/>
        <v>4.8</v>
      </c>
      <c r="C12" s="18">
        <f t="shared" ca="1" si="2"/>
        <v>4</v>
      </c>
      <c r="D12" s="19">
        <f t="shared" ca="1" si="4"/>
        <v>37.854900000000001</v>
      </c>
      <c r="E12" s="18">
        <f t="shared" ca="1" si="5"/>
        <v>84.1</v>
      </c>
      <c r="F12" s="68" t="str">
        <f t="shared" ca="1" si="6"/>
        <v/>
      </c>
      <c r="G12" s="19">
        <f t="shared" ca="1" si="3"/>
        <v>1.3709603025119262E-2</v>
      </c>
      <c r="H12" s="20">
        <f ca="1">D12/MAX(D12:D16)</f>
        <v>0.6923076923076924</v>
      </c>
      <c r="I12" s="19">
        <f t="shared" ca="1" si="7"/>
        <v>1.1573145352642142</v>
      </c>
      <c r="J12" s="21"/>
    </row>
    <row r="13" spans="1:21">
      <c r="A13" s="17">
        <f t="shared" ca="1" si="0"/>
        <v>10</v>
      </c>
      <c r="B13" s="18">
        <f t="shared" ca="1" si="1"/>
        <v>4</v>
      </c>
      <c r="C13" s="18">
        <f t="shared" ca="1" si="2"/>
        <v>3.2</v>
      </c>
      <c r="D13" s="19">
        <f t="shared" ca="1" si="4"/>
        <v>42.061</v>
      </c>
      <c r="E13" s="18">
        <f t="shared" ca="1" si="5"/>
        <v>84.1</v>
      </c>
      <c r="F13" s="68" t="str">
        <f t="shared" ca="1" si="6"/>
        <v/>
      </c>
      <c r="G13" s="19">
        <f t="shared" ca="1" si="3"/>
        <v>1.5581690483983997E-2</v>
      </c>
      <c r="H13" s="20">
        <f ca="1">D13/MAX(D13:D16)</f>
        <v>0.76923076923076927</v>
      </c>
      <c r="I13" s="19">
        <f t="shared" ca="1" si="7"/>
        <v>1.0010754135013404</v>
      </c>
      <c r="J13" s="21"/>
    </row>
    <row r="14" spans="1:21">
      <c r="A14" s="17">
        <f t="shared" ca="1" si="0"/>
        <v>11</v>
      </c>
      <c r="B14" s="18">
        <f t="shared" ca="1" si="1"/>
        <v>3.2</v>
      </c>
      <c r="C14" s="18">
        <f t="shared" ca="1" si="2"/>
        <v>2.4</v>
      </c>
      <c r="D14" s="19">
        <f t="shared" ca="1" si="4"/>
        <v>46.267099999999999</v>
      </c>
      <c r="E14" s="18">
        <f t="shared" ca="1" si="5"/>
        <v>84.1</v>
      </c>
      <c r="F14" s="68" t="str">
        <f t="shared" ca="1" si="6"/>
        <v/>
      </c>
      <c r="G14" s="19">
        <f t="shared" ca="1" si="3"/>
        <v>1.7709417106668224E-2</v>
      </c>
      <c r="H14" s="20">
        <f ca="1">D14/MAX(D14:D16)</f>
        <v>0.84615384615384615</v>
      </c>
      <c r="I14" s="19">
        <f t="shared" ca="1" si="7"/>
        <v>0.93700648234146433</v>
      </c>
      <c r="J14" s="21"/>
    </row>
    <row r="15" spans="1:21">
      <c r="A15" s="17">
        <f t="shared" ca="1" si="0"/>
        <v>12</v>
      </c>
      <c r="B15" s="18">
        <f t="shared" ca="1" si="1"/>
        <v>2.5</v>
      </c>
      <c r="C15" s="18">
        <f t="shared" ca="1" si="2"/>
        <v>1.5</v>
      </c>
      <c r="D15" s="19">
        <f t="shared" ca="1" si="4"/>
        <v>50.473199999999999</v>
      </c>
      <c r="E15" s="18">
        <f t="shared" ca="1" si="5"/>
        <v>84.1</v>
      </c>
      <c r="F15" s="68" t="str">
        <f t="shared" ca="1" si="6"/>
        <v/>
      </c>
      <c r="G15" s="19">
        <f t="shared" ca="1" si="3"/>
        <v>2.045232438773039E-2</v>
      </c>
      <c r="H15" s="20">
        <f ca="1">D15/MAX(D15:D17)</f>
        <v>0.92307692307692313</v>
      </c>
      <c r="I15" s="19">
        <f t="shared" ca="1" si="7"/>
        <v>0.68315232390713698</v>
      </c>
      <c r="J15" s="21"/>
    </row>
    <row r="16" spans="1:21">
      <c r="A16" s="17">
        <f t="shared" ca="1" si="0"/>
        <v>13</v>
      </c>
      <c r="B16" s="18">
        <f t="shared" ca="1" si="1"/>
        <v>1.5</v>
      </c>
      <c r="C16" s="18">
        <f t="shared" ca="1" si="2"/>
        <v>0</v>
      </c>
      <c r="D16" s="19">
        <f t="shared" ca="1" si="4"/>
        <v>54.679299999999998</v>
      </c>
      <c r="E16" s="18">
        <f t="shared" ca="1" si="5"/>
        <v>84.1</v>
      </c>
      <c r="F16" s="68" t="str">
        <f t="shared" ca="1" si="6"/>
        <v>20Y</v>
      </c>
      <c r="G16" s="19">
        <f t="shared" ca="1" si="3"/>
        <v>2.5999999999999999E-2</v>
      </c>
      <c r="H16" s="20">
        <f ca="1">D16/MAX(D16:D18)</f>
        <v>1</v>
      </c>
      <c r="I16" s="19">
        <f t="shared" ca="1" si="7"/>
        <v>0.15070805164822842</v>
      </c>
      <c r="J16" s="21"/>
    </row>
  </sheetData>
  <mergeCells count="1">
    <mergeCell ref="A1:I1"/>
  </mergeCells>
  <printOptions horizontalCentered="1"/>
  <pageMargins left="0.98425196850393704" right="0.78740157480314965" top="1.3779527559055118" bottom="1.5748031496062993" header="0.51181102362204722" footer="0.51181102362204722"/>
  <pageSetup paperSize="9" scale="8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O19" sqref="O19"/>
    </sheetView>
  </sheetViews>
  <sheetFormatPr baseColWidth="10" defaultColWidth="8.7109375" defaultRowHeight="13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1" ma:contentTypeDescription="Create a new document." ma:contentTypeScope="" ma:versionID="a929b8f8a143192e95f003de27a3dc8c">
  <xsd:schema xmlns:xsd="http://www.w3.org/2001/XMLSchema" xmlns:xs="http://www.w3.org/2001/XMLSchema" xmlns:p="http://schemas.microsoft.com/office/2006/metadata/properties" xmlns:ns2="c34a218e-a8d8-4839-b3f2-945a648db978" targetNamespace="http://schemas.microsoft.com/office/2006/metadata/properties" ma:root="true" ma:fieldsID="dc025f033addbfa4b43f7d755f2306af" ns2:_="">
    <xsd:import namespace="c34a218e-a8d8-4839-b3f2-945a648db978"/>
    <xsd:element name="properties">
      <xsd:complexType>
        <xsd:sequence>
          <xsd:element name="documentManagement">
            <xsd:complexType>
              <xsd:all>
                <xsd:element ref="ns2:CT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218e-a8d8-4839-b3f2-945a648db978" elementFormDefault="qualified">
    <xsd:import namespace="http://schemas.microsoft.com/office/2006/documentManagement/types"/>
    <xsd:import namespace="http://schemas.microsoft.com/office/infopath/2007/PartnerControls"/>
    <xsd:element name="CT_x0020_Image" ma:index="8" nillable="true" ma:displayName="CT Image" ma:default="0" ma:internalName="CT_x0020_Ima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T_x0020_Image xmlns="c34a218e-a8d8-4839-b3f2-945a648db978">true</CT_x0020_Image>
  </documentManagement>
</p:properties>
</file>

<file path=customXml/itemProps1.xml><?xml version="1.0" encoding="utf-8"?>
<ds:datastoreItem xmlns:ds="http://schemas.openxmlformats.org/officeDocument/2006/customXml" ds:itemID="{102ECA81-5BA8-49C2-916F-E8B7470A1680}"/>
</file>

<file path=customXml/itemProps2.xml><?xml version="1.0" encoding="utf-8"?>
<ds:datastoreItem xmlns:ds="http://schemas.openxmlformats.org/officeDocument/2006/customXml" ds:itemID="{810065F0-A10F-474F-ADD9-9E625F7C36C6}"/>
</file>

<file path=customXml/itemProps3.xml><?xml version="1.0" encoding="utf-8"?>
<ds:datastoreItem xmlns:ds="http://schemas.openxmlformats.org/officeDocument/2006/customXml" ds:itemID="{A26FA1EF-7C5D-4CF8-80B7-E6AA4B68C8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UT-GOM2-1-H005-1FB-3</vt:lpstr>
      <vt:lpstr>UT-GOM2-1-H005-1FB-3 table</vt:lpstr>
      <vt:lpstr>graph</vt:lpstr>
    </vt:vector>
  </TitlesOfParts>
  <Company>Geotek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Mel</cp:lastModifiedBy>
  <cp:lastPrinted>2017-05-08T14:45:57Z</cp:lastPrinted>
  <dcterms:created xsi:type="dcterms:W3CDTF">2012-06-25T14:59:26Z</dcterms:created>
  <dcterms:modified xsi:type="dcterms:W3CDTF">2017-06-09T12:23:46Z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