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ml.chartshape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3.xml" ContentType="application/vnd.openxmlformats-officedocument.spreadsheetml.worksheet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ate1904="1" showInkAnnotation="0" codeName="ThisWorkbook" autoCompressPictures="0"/>
  <mc:AlternateContent xmlns:mc="http://schemas.openxmlformats.org/markup-compatibility/2006">
    <mc:Choice Requires="x15">
      <x15ac:absPath xmlns:x15ac="http://schemas.microsoft.com/office/spreadsheetml/2010/11/ac" url="C:\Users\user\Desktop\degas\"/>
    </mc:Choice>
  </mc:AlternateContent>
  <bookViews>
    <workbookView xWindow="2040" yWindow="0" windowWidth="26655" windowHeight="16485" tabRatio="623"/>
  </bookViews>
  <sheets>
    <sheet name="UT-GOM2-1-H002-4CS-1" sheetId="27" r:id="rId1"/>
    <sheet name="UT-GOM2-1-H002-4CS-1 table" sheetId="30" r:id="rId2"/>
    <sheet name="graph" sheetId="31" r:id="rId3"/>
  </sheets>
  <definedNames>
    <definedName name="_xlnm.Print_Area" localSheetId="0">'UT-GOM2-1-H002-4CS-1'!#REF!</definedName>
    <definedName name="_xlnm.Print_Area" localSheetId="1">'UT-GOM2-1-H002-4CS-1 table'!$A$1:$I$19</definedName>
  </definedName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T14" i="27" l="1"/>
  <c r="T13" i="27" s="1"/>
  <c r="T12" i="27" s="1"/>
  <c r="T11" i="27" s="1"/>
  <c r="T10" i="27" s="1"/>
  <c r="T9" i="27" s="1"/>
  <c r="T8" i="27" s="1"/>
  <c r="T7" i="27" s="1"/>
  <c r="T6" i="27" s="1"/>
  <c r="T15" i="27"/>
  <c r="T24" i="27" l="1"/>
  <c r="U24" i="27" s="1"/>
  <c r="T26" i="27"/>
  <c r="T27" i="27" s="1"/>
  <c r="T29" i="27"/>
  <c r="T30" i="27"/>
  <c r="T17" i="27"/>
  <c r="U17" i="27" s="1"/>
  <c r="O32" i="27"/>
  <c r="P32" i="27"/>
  <c r="Q32" i="27"/>
  <c r="R32" i="27"/>
  <c r="S32" i="27"/>
  <c r="T32" i="27"/>
  <c r="U32" i="27"/>
  <c r="U10" i="27"/>
  <c r="U6" i="27"/>
  <c r="V6" i="27"/>
  <c r="V7" i="27" s="1"/>
  <c r="U7" i="27"/>
  <c r="U8" i="27"/>
  <c r="U9" i="27"/>
  <c r="U11" i="27"/>
  <c r="U12" i="27"/>
  <c r="U13" i="27"/>
  <c r="U14" i="27"/>
  <c r="U15" i="27"/>
  <c r="U16" i="27"/>
  <c r="U18" i="27"/>
  <c r="U19" i="27"/>
  <c r="U20" i="27"/>
  <c r="U21" i="27"/>
  <c r="U22" i="27"/>
  <c r="U23" i="27"/>
  <c r="U25" i="27"/>
  <c r="U28" i="27"/>
  <c r="U29" i="27"/>
  <c r="U30" i="27"/>
  <c r="U31" i="27"/>
  <c r="W32" i="27"/>
  <c r="Y32" i="27"/>
  <c r="A9" i="27"/>
  <c r="A10" i="27"/>
  <c r="A11" i="27"/>
  <c r="A12" i="27"/>
  <c r="A13" i="27"/>
  <c r="A14" i="27"/>
  <c r="A15" i="27"/>
  <c r="A16" i="27"/>
  <c r="A17" i="27"/>
  <c r="A18" i="27"/>
  <c r="A19" i="27"/>
  <c r="A20" i="27"/>
  <c r="A21" i="27"/>
  <c r="A22" i="27"/>
  <c r="A23" i="27"/>
  <c r="A24" i="27"/>
  <c r="A25" i="27"/>
  <c r="A26" i="27"/>
  <c r="A27" i="27"/>
  <c r="A28" i="27"/>
  <c r="A29" i="27"/>
  <c r="A30" i="27"/>
  <c r="A31" i="27"/>
  <c r="A32" i="27"/>
  <c r="R6" i="27"/>
  <c r="R7" i="27"/>
  <c r="R8" i="27"/>
  <c r="R9" i="27"/>
  <c r="R10" i="27"/>
  <c r="R11" i="27"/>
  <c r="R12" i="27"/>
  <c r="R13" i="27"/>
  <c r="R14" i="27"/>
  <c r="R15" i="27"/>
  <c r="R16" i="27"/>
  <c r="R17" i="27"/>
  <c r="R18" i="27"/>
  <c r="R19" i="27"/>
  <c r="R20" i="27"/>
  <c r="R21" i="27"/>
  <c r="R22" i="27"/>
  <c r="R23" i="27"/>
  <c r="R24" i="27"/>
  <c r="R25" i="27"/>
  <c r="R26" i="27"/>
  <c r="R27" i="27"/>
  <c r="R28" i="27"/>
  <c r="R29" i="27"/>
  <c r="R30" i="27"/>
  <c r="R31" i="27"/>
  <c r="W6" i="27"/>
  <c r="W7" i="27"/>
  <c r="W8" i="27"/>
  <c r="W9" i="27"/>
  <c r="W10" i="27"/>
  <c r="W11" i="27"/>
  <c r="W12" i="27"/>
  <c r="W13" i="27"/>
  <c r="W14" i="27"/>
  <c r="W15" i="27"/>
  <c r="W16" i="27"/>
  <c r="W17" i="27"/>
  <c r="W18" i="27"/>
  <c r="W19" i="27"/>
  <c r="W20" i="27"/>
  <c r="W21" i="27"/>
  <c r="W22" i="27"/>
  <c r="Y22" i="27"/>
  <c r="W23" i="27"/>
  <c r="Y23" i="27"/>
  <c r="W24" i="27"/>
  <c r="W25" i="27"/>
  <c r="Y25" i="27"/>
  <c r="W26" i="27"/>
  <c r="W27" i="27"/>
  <c r="W28" i="27"/>
  <c r="Y28" i="27"/>
  <c r="W29" i="27"/>
  <c r="Y29" i="27"/>
  <c r="W30" i="27"/>
  <c r="Y30" i="27"/>
  <c r="W31" i="27"/>
  <c r="Y31" i="27"/>
  <c r="O30" i="27"/>
  <c r="O19" i="27"/>
  <c r="O7" i="27"/>
  <c r="P7" i="27"/>
  <c r="O8" i="27"/>
  <c r="P8" i="27"/>
  <c r="O9" i="27"/>
  <c r="P9" i="27"/>
  <c r="O10" i="27"/>
  <c r="P10" i="27"/>
  <c r="O11" i="27"/>
  <c r="P11" i="27"/>
  <c r="O12" i="27"/>
  <c r="P12" i="27"/>
  <c r="O13" i="27"/>
  <c r="P13" i="27"/>
  <c r="O14" i="27"/>
  <c r="P14" i="27"/>
  <c r="O15" i="27"/>
  <c r="P15" i="27"/>
  <c r="O16" i="27"/>
  <c r="P16" i="27"/>
  <c r="O17" i="27"/>
  <c r="P17" i="27"/>
  <c r="O18" i="27"/>
  <c r="P18" i="27"/>
  <c r="P19" i="27"/>
  <c r="O20" i="27"/>
  <c r="P20" i="27"/>
  <c r="O21" i="27"/>
  <c r="P21" i="27"/>
  <c r="O22" i="27"/>
  <c r="P22" i="27"/>
  <c r="O23" i="27"/>
  <c r="P23" i="27"/>
  <c r="O24" i="27"/>
  <c r="P24" i="27"/>
  <c r="O25" i="27"/>
  <c r="P25" i="27"/>
  <c r="O26" i="27"/>
  <c r="P26" i="27"/>
  <c r="O27" i="27"/>
  <c r="P27" i="27"/>
  <c r="O28" i="27"/>
  <c r="P28" i="27"/>
  <c r="O29" i="27"/>
  <c r="P29" i="27"/>
  <c r="P30" i="27"/>
  <c r="Q30" i="27"/>
  <c r="N2" i="27"/>
  <c r="S30" i="27"/>
  <c r="S6" i="27"/>
  <c r="Q6" i="27"/>
  <c r="S7" i="27"/>
  <c r="Q7" i="27"/>
  <c r="S8" i="27"/>
  <c r="Q8" i="27"/>
  <c r="S9" i="27"/>
  <c r="Q9" i="27"/>
  <c r="S10" i="27"/>
  <c r="Q10" i="27"/>
  <c r="S11" i="27"/>
  <c r="Q11" i="27"/>
  <c r="S12" i="27"/>
  <c r="Q12" i="27"/>
  <c r="S13" i="27"/>
  <c r="Q13" i="27"/>
  <c r="S14" i="27"/>
  <c r="Q14" i="27"/>
  <c r="S15" i="27"/>
  <c r="Q15" i="27"/>
  <c r="S16" i="27"/>
  <c r="Q16" i="27"/>
  <c r="S17" i="27"/>
  <c r="Q17" i="27"/>
  <c r="S18" i="27"/>
  <c r="Q18" i="27"/>
  <c r="S19" i="27"/>
  <c r="Q19" i="27"/>
  <c r="S20" i="27"/>
  <c r="Q20" i="27"/>
  <c r="S21" i="27"/>
  <c r="Q21" i="27"/>
  <c r="S22" i="27"/>
  <c r="Q22" i="27"/>
  <c r="S23" i="27"/>
  <c r="Q23" i="27"/>
  <c r="S24" i="27"/>
  <c r="Q24" i="27"/>
  <c r="S25" i="27"/>
  <c r="Q25" i="27"/>
  <c r="S26" i="27"/>
  <c r="Q26" i="27"/>
  <c r="S27" i="27"/>
  <c r="Q27" i="27"/>
  <c r="S28" i="27"/>
  <c r="Q28" i="27"/>
  <c r="S29" i="27"/>
  <c r="Q29" i="27"/>
  <c r="O31" i="27"/>
  <c r="P31" i="27"/>
  <c r="Q31" i="27"/>
  <c r="S31" i="27"/>
  <c r="Y21" i="27"/>
  <c r="Y7" i="27"/>
  <c r="Y8" i="27"/>
  <c r="Y9" i="27"/>
  <c r="Y10" i="27"/>
  <c r="Y11" i="27"/>
  <c r="Y12" i="27"/>
  <c r="Y13" i="27"/>
  <c r="Y14" i="27"/>
  <c r="Y15" i="27"/>
  <c r="Y16" i="27"/>
  <c r="Y17" i="27"/>
  <c r="Y18" i="27"/>
  <c r="Y19" i="27"/>
  <c r="Y20" i="27"/>
  <c r="Y6" i="27"/>
  <c r="A1" i="30"/>
  <c r="A30" i="30"/>
  <c r="G28" i="30"/>
  <c r="E13" i="30"/>
  <c r="C5" i="30"/>
  <c r="E15" i="30"/>
  <c r="I19" i="30"/>
  <c r="I15" i="30"/>
  <c r="C18" i="30"/>
  <c r="F25" i="30"/>
  <c r="G19" i="30"/>
  <c r="C30" i="30"/>
  <c r="F14" i="30"/>
  <c r="G12" i="30"/>
  <c r="G7" i="30"/>
  <c r="B12" i="30"/>
  <c r="A4" i="30"/>
  <c r="A28" i="30"/>
  <c r="C14" i="30"/>
  <c r="B24" i="30"/>
  <c r="I10" i="30"/>
  <c r="A11" i="30"/>
  <c r="B9" i="30"/>
  <c r="E19" i="30"/>
  <c r="B15" i="30"/>
  <c r="F12" i="30"/>
  <c r="A13" i="30"/>
  <c r="G10" i="30"/>
  <c r="B7" i="30"/>
  <c r="B20" i="30"/>
  <c r="A21" i="30"/>
  <c r="C20" i="30"/>
  <c r="E27" i="30"/>
  <c r="F20" i="30"/>
  <c r="A15" i="30"/>
  <c r="A6" i="30"/>
  <c r="F29" i="30"/>
  <c r="A25" i="30"/>
  <c r="F22" i="30"/>
  <c r="E9" i="30"/>
  <c r="F10" i="30"/>
  <c r="I17" i="30"/>
  <c r="E14" i="30"/>
  <c r="G15" i="30"/>
  <c r="E23" i="30"/>
  <c r="E12" i="30"/>
  <c r="G30" i="30"/>
  <c r="E29" i="30"/>
  <c r="B18" i="30"/>
  <c r="E22" i="30"/>
  <c r="B16" i="30"/>
  <c r="B17" i="30"/>
  <c r="G18" i="30"/>
  <c r="A12" i="30"/>
  <c r="C26" i="30"/>
  <c r="A18" i="30"/>
  <c r="I30" i="30"/>
  <c r="I5" i="30"/>
  <c r="G4" i="30"/>
  <c r="E30" i="30"/>
  <c r="C7" i="30"/>
  <c r="D4" i="30"/>
  <c r="F7" i="30"/>
  <c r="B11" i="30"/>
  <c r="G26" i="30"/>
  <c r="I14" i="30"/>
  <c r="B6" i="30"/>
  <c r="C4" i="30"/>
  <c r="C15" i="30"/>
  <c r="C10" i="30"/>
  <c r="G16" i="30"/>
  <c r="I23" i="30"/>
  <c r="C12" i="30"/>
  <c r="A27" i="30"/>
  <c r="I13" i="30"/>
  <c r="B21" i="30"/>
  <c r="F15" i="30"/>
  <c r="I18" i="30"/>
  <c r="G5" i="30"/>
  <c r="B22" i="30"/>
  <c r="B8" i="30"/>
  <c r="B13" i="30"/>
  <c r="E7" i="30"/>
  <c r="E8" i="30"/>
  <c r="C24" i="30"/>
  <c r="F30" i="30"/>
  <c r="F11" i="30"/>
  <c r="A7" i="30"/>
  <c r="A23" i="30"/>
  <c r="A17" i="30"/>
  <c r="B14" i="30"/>
  <c r="E21" i="30"/>
  <c r="C16" i="30"/>
  <c r="G20" i="30"/>
  <c r="G9" i="30"/>
  <c r="E20" i="30"/>
  <c r="A9" i="30"/>
  <c r="F4" i="30"/>
  <c r="E26" i="30"/>
  <c r="B4" i="30"/>
  <c r="B30" i="30"/>
  <c r="G21" i="30"/>
  <c r="G23" i="30"/>
  <c r="F24" i="30"/>
  <c r="A8" i="30"/>
  <c r="B28" i="30"/>
  <c r="E24" i="30"/>
  <c r="C17" i="30"/>
  <c r="I26" i="30"/>
  <c r="C28" i="30"/>
  <c r="I4" i="30"/>
  <c r="G29" i="30"/>
  <c r="C27" i="30"/>
  <c r="I6" i="30"/>
  <c r="I11" i="30"/>
  <c r="G24" i="30"/>
  <c r="I8" i="30"/>
  <c r="C13" i="30"/>
  <c r="I27" i="30"/>
  <c r="A5" i="30"/>
  <c r="I21" i="30"/>
  <c r="C21" i="30"/>
  <c r="A20" i="30"/>
  <c r="F5" i="30"/>
  <c r="G11" i="30"/>
  <c r="B23" i="30"/>
  <c r="C19" i="30"/>
  <c r="A29" i="30"/>
  <c r="I29" i="30"/>
  <c r="C29" i="30"/>
  <c r="C23" i="30"/>
  <c r="E16" i="30"/>
  <c r="C6" i="30"/>
  <c r="I28" i="30"/>
  <c r="E17" i="30"/>
  <c r="F27" i="30"/>
  <c r="G27" i="30"/>
  <c r="A22" i="30"/>
  <c r="E25" i="30"/>
  <c r="I12" i="30"/>
  <c r="B10" i="30"/>
  <c r="F6" i="30"/>
  <c r="C9" i="30"/>
  <c r="B25" i="30"/>
  <c r="C25" i="30"/>
  <c r="F21" i="30"/>
  <c r="F13" i="30"/>
  <c r="A10" i="30"/>
  <c r="G25" i="30"/>
  <c r="G14" i="30"/>
  <c r="F9" i="30"/>
  <c r="I7" i="30"/>
  <c r="F19" i="30"/>
  <c r="A24" i="30"/>
  <c r="B19" i="30"/>
  <c r="I20" i="30"/>
  <c r="F8" i="30"/>
  <c r="A19" i="30"/>
  <c r="F17" i="30"/>
  <c r="B29" i="30"/>
  <c r="A26" i="30"/>
  <c r="B26" i="30"/>
  <c r="I16" i="30"/>
  <c r="G8" i="30"/>
  <c r="I9" i="30"/>
  <c r="F23" i="30"/>
  <c r="E28" i="30"/>
  <c r="F28" i="30"/>
  <c r="C22" i="30"/>
  <c r="E6" i="30"/>
  <c r="C8" i="30"/>
  <c r="B27" i="30"/>
  <c r="C11" i="30"/>
  <c r="E10" i="30"/>
  <c r="E11" i="30"/>
  <c r="E4" i="30"/>
  <c r="F26" i="30"/>
  <c r="G17" i="30"/>
  <c r="G22" i="30"/>
  <c r="F16" i="30"/>
  <c r="E18" i="30"/>
  <c r="E5" i="30"/>
  <c r="F18" i="30"/>
  <c r="B5" i="30"/>
  <c r="G6" i="30"/>
  <c r="G13" i="30"/>
  <c r="A16" i="30"/>
  <c r="A14" i="30"/>
  <c r="Z7" i="27" l="1"/>
  <c r="V8" i="27"/>
  <c r="Z6" i="27"/>
  <c r="U27" i="27"/>
  <c r="Y27" i="27"/>
  <c r="Y26" i="27"/>
  <c r="U26" i="27"/>
  <c r="Y24" i="27"/>
  <c r="I24" i="30"/>
  <c r="I25" i="30"/>
  <c r="I22" i="30"/>
  <c r="D5" i="30"/>
  <c r="Z8" i="27" l="1"/>
  <c r="V9" i="27"/>
  <c r="D6" i="30"/>
  <c r="Z9" i="27" l="1"/>
  <c r="V10" i="27"/>
  <c r="D7" i="30"/>
  <c r="Z10" i="27" l="1"/>
  <c r="V11" i="27"/>
  <c r="D8" i="30"/>
  <c r="V12" i="27" l="1"/>
  <c r="Z11" i="27"/>
  <c r="D9" i="30"/>
  <c r="V13" i="27" l="1"/>
  <c r="Z12" i="27"/>
  <c r="D10" i="30"/>
  <c r="V14" i="27" l="1"/>
  <c r="Z13" i="27"/>
  <c r="D11" i="30"/>
  <c r="V15" i="27" l="1"/>
  <c r="Z14" i="27"/>
  <c r="D12" i="30"/>
  <c r="Z15" i="27" l="1"/>
  <c r="V16" i="27"/>
  <c r="D13" i="30"/>
  <c r="V17" i="27" l="1"/>
  <c r="Z16" i="27"/>
  <c r="D14" i="30"/>
  <c r="Z17" i="27" l="1"/>
  <c r="V18" i="27"/>
  <c r="D15" i="30"/>
  <c r="Z18" i="27" l="1"/>
  <c r="V19" i="27"/>
  <c r="D16" i="30"/>
  <c r="V20" i="27" l="1"/>
  <c r="Z19" i="27"/>
  <c r="D17" i="30"/>
  <c r="Z20" i="27" l="1"/>
  <c r="V21" i="27"/>
  <c r="D18" i="30"/>
  <c r="V22" i="27" l="1"/>
  <c r="Z21" i="27"/>
  <c r="D19" i="30"/>
  <c r="Z22" i="27" l="1"/>
  <c r="V23" i="27"/>
  <c r="D20" i="30"/>
  <c r="Z23" i="27" l="1"/>
  <c r="V24" i="27"/>
  <c r="D21" i="30"/>
  <c r="V25" i="27" l="1"/>
  <c r="Z24" i="27"/>
  <c r="D22" i="30"/>
  <c r="Z25" i="27" l="1"/>
  <c r="V26" i="27"/>
  <c r="D23" i="30"/>
  <c r="Z26" i="27" l="1"/>
  <c r="V27" i="27"/>
  <c r="D24" i="30"/>
  <c r="Z27" i="27" l="1"/>
  <c r="V28" i="27"/>
  <c r="D25" i="30"/>
  <c r="V29" i="27" l="1"/>
  <c r="Z28" i="27"/>
  <c r="D26" i="30"/>
  <c r="H4" i="30" l="1"/>
  <c r="V30" i="27"/>
  <c r="Z29" i="27"/>
  <c r="D27" i="30"/>
  <c r="H5" i="30" l="1"/>
  <c r="Z30" i="27"/>
  <c r="V31" i="27"/>
  <c r="D28" i="30"/>
  <c r="H6" i="30" l="1"/>
  <c r="Z31" i="27"/>
  <c r="V32" i="27"/>
  <c r="Z32" i="27" s="1"/>
  <c r="D29" i="30"/>
  <c r="H8" i="30" l="1"/>
  <c r="H7" i="30"/>
  <c r="H9" i="30"/>
  <c r="H10" i="30"/>
  <c r="H11" i="30"/>
  <c r="D30" i="30"/>
  <c r="H30" i="30" l="1"/>
  <c r="H12" i="30"/>
  <c r="H13" i="30"/>
  <c r="H14" i="30"/>
  <c r="H15" i="30"/>
  <c r="H16" i="30"/>
  <c r="H17" i="30"/>
  <c r="H18" i="30"/>
  <c r="H19" i="30"/>
  <c r="H20" i="30"/>
  <c r="H21" i="30"/>
  <c r="H22" i="30"/>
  <c r="H23" i="30"/>
  <c r="H24" i="30"/>
  <c r="H28" i="30"/>
  <c r="H29" i="30"/>
  <c r="H27" i="30"/>
  <c r="H26" i="30"/>
  <c r="H25" i="30"/>
</calcChain>
</file>

<file path=xl/sharedStrings.xml><?xml version="1.0" encoding="utf-8"?>
<sst xmlns="http://schemas.openxmlformats.org/spreadsheetml/2006/main" count="85" uniqueCount="71">
  <si>
    <t>Gas volume (ml)</t>
  </si>
  <si>
    <t>Start Date:</t>
  </si>
  <si>
    <t>Gas chamber</t>
  </si>
  <si>
    <t>Bubble chamber</t>
  </si>
  <si>
    <t xml:space="preserve">   Manifold </t>
  </si>
  <si>
    <t>Start P
(bar)</t>
  </si>
  <si>
    <t>End P
(bar)</t>
  </si>
  <si>
    <t>Liquid volume
(ml)</t>
  </si>
  <si>
    <t>Liquid Vol
(ml)</t>
  </si>
  <si>
    <t>Temp
(C)</t>
  </si>
  <si>
    <t>Ambient Pressure (mbar):</t>
  </si>
  <si>
    <t xml:space="preserve">   Sample ID/Chamber</t>
  </si>
  <si>
    <t>CH4 %</t>
  </si>
  <si>
    <t xml:space="preserve"> </t>
  </si>
  <si>
    <t>Total Time
(hrs)</t>
  </si>
  <si>
    <t>Volume Gas 
Chamber
(ml)</t>
  </si>
  <si>
    <t>Date</t>
  </si>
  <si>
    <t>Stage</t>
  </si>
  <si>
    <t>Start Pressure
(MPa)</t>
  </si>
  <si>
    <t>End Pressure
(MPa)</t>
  </si>
  <si>
    <t>Cumulative Volume Gas Expelled (liters @ STP)</t>
  </si>
  <si>
    <r>
      <t>Percent Methane (%</t>
    </r>
    <r>
      <rPr>
        <b/>
        <sz val="10"/>
        <rFont val="Arial"/>
        <family val="2"/>
      </rPr>
      <t>)</t>
    </r>
  </si>
  <si>
    <t>Gas Sample</t>
  </si>
  <si>
    <t>Cumulative Volume Liquid Expelled
(liters)</t>
  </si>
  <si>
    <t>Degassing Progress (%)</t>
  </si>
  <si>
    <r>
      <t>Estimated    Methane</t>
    </r>
    <r>
      <rPr>
        <b/>
        <sz val="10"/>
        <rFont val="Arial"/>
        <family val="2"/>
      </rPr>
      <t xml:space="preserve">        in System         (liters @ STP)</t>
    </r>
  </si>
  <si>
    <t>Gas sample (syringe #)</t>
  </si>
  <si>
    <t>Copy name of degassing data sheet and paste here</t>
  </si>
  <si>
    <t>Time</t>
  </si>
  <si>
    <t>Other Samples / Comments</t>
  </si>
  <si>
    <t>Incremental Time
(min)</t>
  </si>
  <si>
    <t>Manifold</t>
  </si>
  <si>
    <t>expelled methane</t>
  </si>
  <si>
    <t>total methane</t>
  </si>
  <si>
    <t>time</t>
  </si>
  <si>
    <t>incremental expelled gas</t>
  </si>
  <si>
    <t>gas chamber</t>
  </si>
  <si>
    <t>bubble</t>
  </si>
  <si>
    <t>methane %</t>
  </si>
  <si>
    <t>Cumulative  vol CH4
expelled
(L @STP)</t>
  </si>
  <si>
    <t>CH4 gas in system from expelled liquid
(L @STP)</t>
  </si>
  <si>
    <t>Total CH4 in system
(L @STP)</t>
  </si>
  <si>
    <t xml:space="preserve"> Total incremental vol CH4
expelled
(ml @STP)</t>
  </si>
  <si>
    <t>Incremental Chamber Volume Gas
(ml @STP)</t>
  </si>
  <si>
    <t>Incremental Bubble Volume Gas
(ml @STP)</t>
  </si>
  <si>
    <t>methane remaining in chamber</t>
  </si>
  <si>
    <t>Cumulative vol liquid expelled
(L)</t>
  </si>
  <si>
    <t>System compliance (26 or 90 ml) (L)</t>
  </si>
  <si>
    <t>UT-GOM2-1-H002-4CS-1</t>
  </si>
  <si>
    <t>UT-GOM2-1-H002-4CS-1 / 035-027</t>
  </si>
  <si>
    <t>Green</t>
  </si>
  <si>
    <t>released pressure in manifold</t>
  </si>
  <si>
    <t>odd manifold behavior; isolated SC</t>
  </si>
  <si>
    <t>pressure offsets btwn SC, Keller</t>
  </si>
  <si>
    <t>reopened SC; copper tubes 3 &amp; 4</t>
  </si>
  <si>
    <t>Cu tube 7</t>
  </si>
  <si>
    <t>pressure no longer offset; Cu tube 6, steel sample A</t>
  </si>
  <si>
    <t>Cu tube 8, steel sample B</t>
  </si>
  <si>
    <t>Cu tube 9, steel sample C</t>
  </si>
  <si>
    <t>Cu tube 11</t>
  </si>
  <si>
    <t>Cu tube 12; subtracted 6ml liquid to match measured total</t>
  </si>
  <si>
    <t>1G</t>
  </si>
  <si>
    <t>2G</t>
  </si>
  <si>
    <t>3G</t>
  </si>
  <si>
    <t>4G</t>
  </si>
  <si>
    <t>5G</t>
  </si>
  <si>
    <t>6G</t>
  </si>
  <si>
    <t>7G</t>
  </si>
  <si>
    <t>8G</t>
  </si>
  <si>
    <t>9G</t>
  </si>
  <si>
    <t>10G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</si>
</sst>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h:mm"/>
    <numFmt numFmtId="165" formatCode="0.0"/>
  </numFmts>
  <fonts count="18" x14ac:knownFonts="1">
    <font>
      <sz val="10"/>
      <name val="Verdana"/>
    </font>
    <font>
      <b/>
      <sz val="10"/>
      <name val="Verdana"/>
      <family val="2"/>
    </font>
    <font>
      <u/>
      <sz val="10"/>
      <color theme="10"/>
      <name val="Verdana"/>
      <family val="2"/>
    </font>
    <font>
      <u/>
      <sz val="10"/>
      <color theme="11"/>
      <name val="Verdana"/>
      <family val="2"/>
    </font>
    <font>
      <b/>
      <sz val="14"/>
      <name val="Verdana"/>
      <family val="2"/>
    </font>
    <font>
      <sz val="14"/>
      <name val="Verdana"/>
      <family val="2"/>
    </font>
    <font>
      <sz val="10"/>
      <name val="Verdana"/>
      <family val="2"/>
    </font>
    <font>
      <b/>
      <sz val="12"/>
      <name val="Verdana"/>
      <family val="2"/>
    </font>
    <font>
      <sz val="12"/>
      <name val="Verdana"/>
      <family val="2"/>
    </font>
    <font>
      <b/>
      <sz val="16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2"/>
      <color rgb="FFFF0000"/>
      <name val="Arial"/>
      <family val="2"/>
    </font>
    <font>
      <sz val="12"/>
      <color theme="0" tint="-0.499984740745262"/>
      <name val="Verdana"/>
      <family val="2"/>
    </font>
    <font>
      <b/>
      <sz val="12"/>
      <color theme="9" tint="-0.499984740745262"/>
      <name val="Verdana"/>
      <family val="2"/>
    </font>
    <font>
      <sz val="12"/>
      <color theme="9" tint="-0.499984740745262"/>
      <name val="Verdana"/>
      <family val="2"/>
    </font>
    <font>
      <sz val="14"/>
      <color theme="9" tint="-0.499984740745262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DE2CA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0.749992370372631"/>
        <bgColor indexed="64"/>
      </patternFill>
    </fill>
  </fills>
  <borders count="5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medium">
        <color auto="1"/>
      </top>
      <bottom/>
      <diagonal/>
    </border>
    <border>
      <left style="double">
        <color auto="1"/>
      </left>
      <right style="thin">
        <color auto="1"/>
      </right>
      <top/>
      <bottom style="medium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double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double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</borders>
  <cellStyleXfs count="88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9" fontId="6" fillId="0" borderId="0" applyFont="0" applyFill="0" applyBorder="0" applyAlignment="0" applyProtection="0"/>
  </cellStyleXfs>
  <cellXfs count="117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0" borderId="0" xfId="0" applyFill="1"/>
    <xf numFmtId="0" fontId="1" fillId="0" borderId="0" xfId="0" applyFont="1" applyFill="1" applyAlignment="1">
      <alignment horizontal="center" wrapText="1"/>
    </xf>
    <xf numFmtId="43" fontId="1" fillId="0" borderId="0" xfId="5" applyFont="1" applyFill="1" applyAlignment="1">
      <alignment horizontal="center" wrapText="1"/>
    </xf>
    <xf numFmtId="1" fontId="1" fillId="0" borderId="0" xfId="0" applyNumberFormat="1" applyFont="1" applyFill="1" applyAlignment="1">
      <alignment horizontal="center" wrapText="1"/>
    </xf>
    <xf numFmtId="43" fontId="1" fillId="0" borderId="0" xfId="5" applyNumberFormat="1" applyFont="1" applyFill="1" applyAlignment="1">
      <alignment horizontal="center" wrapText="1"/>
    </xf>
    <xf numFmtId="0" fontId="6" fillId="0" borderId="0" xfId="0" applyFont="1"/>
    <xf numFmtId="0" fontId="0" fillId="0" borderId="0" xfId="0" applyAlignment="1">
      <alignment horizontal="center" wrapText="1"/>
    </xf>
    <xf numFmtId="0" fontId="10" fillId="0" borderId="0" xfId="6" applyFont="1"/>
    <xf numFmtId="2" fontId="11" fillId="0" borderId="0" xfId="6" applyNumberFormat="1" applyFont="1" applyBorder="1" applyAlignment="1">
      <alignment vertical="center"/>
    </xf>
    <xf numFmtId="0" fontId="10" fillId="0" borderId="0" xfId="6" applyFont="1" applyBorder="1"/>
    <xf numFmtId="0" fontId="12" fillId="3" borderId="25" xfId="6" applyFont="1" applyFill="1" applyBorder="1" applyAlignment="1">
      <alignment horizontal="center" vertical="center" wrapText="1"/>
    </xf>
    <xf numFmtId="43" fontId="12" fillId="3" borderId="25" xfId="6" applyNumberFormat="1" applyFont="1" applyFill="1" applyBorder="1" applyAlignment="1">
      <alignment horizontal="center" vertical="center" wrapText="1"/>
    </xf>
    <xf numFmtId="43" fontId="12" fillId="3" borderId="26" xfId="6" applyNumberFormat="1" applyFont="1" applyFill="1" applyBorder="1" applyAlignment="1">
      <alignment horizontal="center" vertical="center" wrapText="1"/>
    </xf>
    <xf numFmtId="0" fontId="10" fillId="0" borderId="0" xfId="6" applyFont="1" applyAlignment="1">
      <alignment vertical="center"/>
    </xf>
    <xf numFmtId="0" fontId="10" fillId="0" borderId="1" xfId="6" applyFont="1" applyBorder="1" applyAlignment="1">
      <alignment horizontal="center"/>
    </xf>
    <xf numFmtId="165" fontId="10" fillId="0" borderId="1" xfId="6" applyNumberFormat="1" applyFont="1" applyBorder="1" applyAlignment="1">
      <alignment horizontal="center"/>
    </xf>
    <xf numFmtId="2" fontId="10" fillId="0" borderId="1" xfId="6" applyNumberFormat="1" applyFont="1" applyBorder="1" applyAlignment="1">
      <alignment horizontal="center"/>
    </xf>
    <xf numFmtId="9" fontId="10" fillId="0" borderId="1" xfId="87" applyFont="1" applyBorder="1" applyAlignment="1">
      <alignment horizontal="center"/>
    </xf>
    <xf numFmtId="0" fontId="10" fillId="0" borderId="0" xfId="6" applyFont="1" applyAlignment="1">
      <alignment horizontal="center"/>
    </xf>
    <xf numFmtId="2" fontId="13" fillId="0" borderId="0" xfId="6" applyNumberFormat="1" applyFont="1" applyBorder="1" applyAlignment="1">
      <alignment vertical="center"/>
    </xf>
    <xf numFmtId="0" fontId="8" fillId="0" borderId="18" xfId="0" applyFont="1" applyBorder="1" applyAlignment="1">
      <alignment horizontal="center" vertical="center"/>
    </xf>
    <xf numFmtId="14" fontId="8" fillId="0" borderId="22" xfId="0" applyNumberFormat="1" applyFont="1" applyBorder="1" applyAlignment="1">
      <alignment horizontal="center" vertical="center"/>
    </xf>
    <xf numFmtId="164" fontId="8" fillId="0" borderId="37" xfId="0" applyNumberFormat="1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0" borderId="38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8" fillId="0" borderId="19" xfId="0" applyFont="1" applyBorder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8" fillId="0" borderId="20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0" borderId="33" xfId="0" applyFont="1" applyBorder="1" applyAlignment="1">
      <alignment horizontal="center" vertical="center"/>
    </xf>
    <xf numFmtId="0" fontId="8" fillId="0" borderId="21" xfId="0" applyFont="1" applyBorder="1" applyAlignment="1">
      <alignment vertical="center"/>
    </xf>
    <xf numFmtId="0" fontId="0" fillId="0" borderId="0" xfId="0" applyFill="1" applyAlignment="1">
      <alignment vertical="center"/>
    </xf>
    <xf numFmtId="0" fontId="8" fillId="0" borderId="33" xfId="0" applyFont="1" applyFill="1" applyBorder="1" applyAlignment="1">
      <alignment horizontal="center" vertical="center"/>
    </xf>
    <xf numFmtId="164" fontId="8" fillId="0" borderId="29" xfId="0" applyNumberFormat="1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20" fontId="8" fillId="0" borderId="29" xfId="0" applyNumberFormat="1" applyFont="1" applyBorder="1" applyAlignment="1">
      <alignment horizontal="center" vertical="center"/>
    </xf>
    <xf numFmtId="0" fontId="8" fillId="0" borderId="29" xfId="0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43" fontId="0" fillId="0" borderId="0" xfId="5" applyFont="1" applyFill="1" applyAlignment="1">
      <alignment horizontal="center"/>
    </xf>
    <xf numFmtId="1" fontId="0" fillId="0" borderId="0" xfId="0" applyNumberFormat="1" applyFill="1" applyAlignment="1">
      <alignment horizontal="center"/>
    </xf>
    <xf numFmtId="43" fontId="0" fillId="0" borderId="0" xfId="5" applyNumberFormat="1" applyFont="1" applyFill="1" applyAlignment="1">
      <alignment horizontal="center"/>
    </xf>
    <xf numFmtId="0" fontId="1" fillId="0" borderId="12" xfId="0" applyFont="1" applyFill="1" applyBorder="1" applyAlignment="1">
      <alignment horizontal="center" wrapText="1"/>
    </xf>
    <xf numFmtId="43" fontId="1" fillId="0" borderId="4" xfId="5" applyFont="1" applyFill="1" applyBorder="1" applyAlignment="1">
      <alignment horizontal="center" wrapText="1"/>
    </xf>
    <xf numFmtId="0" fontId="7" fillId="0" borderId="20" xfId="0" applyFont="1" applyBorder="1" applyAlignment="1">
      <alignment horizontal="center" vertical="center" wrapText="1"/>
    </xf>
    <xf numFmtId="1" fontId="1" fillId="0" borderId="12" xfId="0" applyNumberFormat="1" applyFont="1" applyFill="1" applyBorder="1" applyAlignment="1">
      <alignment horizontal="center" wrapText="1"/>
    </xf>
    <xf numFmtId="0" fontId="1" fillId="0" borderId="3" xfId="0" applyFont="1" applyFill="1" applyBorder="1" applyAlignment="1">
      <alignment horizontal="center" wrapText="1"/>
    </xf>
    <xf numFmtId="1" fontId="1" fillId="0" borderId="13" xfId="0" applyNumberFormat="1" applyFont="1" applyFill="1" applyBorder="1" applyAlignment="1">
      <alignment horizontal="center" wrapText="1"/>
    </xf>
    <xf numFmtId="0" fontId="7" fillId="0" borderId="44" xfId="0" applyFont="1" applyBorder="1" applyAlignment="1">
      <alignment horizontal="center" vertical="center" wrapText="1"/>
    </xf>
    <xf numFmtId="0" fontId="1" fillId="0" borderId="45" xfId="0" applyFont="1" applyFill="1" applyBorder="1" applyAlignment="1">
      <alignment horizontal="center" wrapText="1"/>
    </xf>
    <xf numFmtId="43" fontId="1" fillId="0" borderId="12" xfId="5" applyNumberFormat="1" applyFont="1" applyFill="1" applyBorder="1" applyAlignment="1">
      <alignment horizontal="center" wrapText="1"/>
    </xf>
    <xf numFmtId="0" fontId="1" fillId="0" borderId="46" xfId="0" applyFont="1" applyFill="1" applyBorder="1" applyAlignment="1">
      <alignment horizontal="center" wrapText="1"/>
    </xf>
    <xf numFmtId="1" fontId="15" fillId="0" borderId="0" xfId="0" applyNumberFormat="1" applyFont="1" applyFill="1" applyAlignment="1">
      <alignment horizontal="center" vertical="center"/>
    </xf>
    <xf numFmtId="0" fontId="7" fillId="4" borderId="24" xfId="0" applyFont="1" applyFill="1" applyBorder="1" applyAlignment="1">
      <alignment horizontal="center" vertical="center" wrapText="1"/>
    </xf>
    <xf numFmtId="0" fontId="7" fillId="4" borderId="3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1" fontId="16" fillId="0" borderId="0" xfId="0" applyNumberFormat="1" applyFont="1" applyFill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1" fontId="16" fillId="0" borderId="0" xfId="5" applyNumberFormat="1" applyFont="1" applyFill="1" applyAlignment="1">
      <alignment horizontal="center" vertical="center"/>
    </xf>
    <xf numFmtId="2" fontId="16" fillId="0" borderId="0" xfId="0" applyNumberFormat="1" applyFont="1" applyAlignment="1">
      <alignment horizontal="center" vertical="center"/>
    </xf>
    <xf numFmtId="43" fontId="1" fillId="0" borderId="4" xfId="5" applyNumberFormat="1" applyFont="1" applyFill="1" applyBorder="1" applyAlignment="1">
      <alignment horizontal="center" wrapText="1"/>
    </xf>
    <xf numFmtId="43" fontId="1" fillId="0" borderId="3" xfId="5" applyNumberFormat="1" applyFont="1" applyFill="1" applyBorder="1" applyAlignment="1">
      <alignment horizontal="center" wrapText="1"/>
    </xf>
    <xf numFmtId="0" fontId="17" fillId="0" borderId="13" xfId="0" applyFont="1" applyFill="1" applyBorder="1" applyAlignment="1">
      <alignment horizontal="center" vertical="center" wrapText="1"/>
    </xf>
    <xf numFmtId="1" fontId="10" fillId="0" borderId="1" xfId="6" applyNumberFormat="1" applyFont="1" applyBorder="1" applyAlignment="1">
      <alignment horizontal="center"/>
    </xf>
    <xf numFmtId="43" fontId="1" fillId="0" borderId="46" xfId="5" applyNumberFormat="1" applyFont="1" applyFill="1" applyBorder="1" applyAlignment="1">
      <alignment horizontal="center" wrapText="1"/>
    </xf>
    <xf numFmtId="165" fontId="8" fillId="0" borderId="0" xfId="0" applyNumberFormat="1" applyFont="1" applyFill="1" applyAlignment="1">
      <alignment horizontal="center" vertical="center"/>
    </xf>
    <xf numFmtId="0" fontId="7" fillId="0" borderId="47" xfId="0" applyFont="1" applyBorder="1" applyAlignment="1">
      <alignment horizontal="center" vertical="center" wrapText="1"/>
    </xf>
    <xf numFmtId="0" fontId="7" fillId="0" borderId="49" xfId="0" applyFont="1" applyBorder="1" applyAlignment="1">
      <alignment horizontal="center" vertical="center" wrapText="1"/>
    </xf>
    <xf numFmtId="0" fontId="7" fillId="0" borderId="48" xfId="0" applyFont="1" applyBorder="1" applyAlignment="1">
      <alignment horizontal="center" vertical="center" wrapText="1"/>
    </xf>
    <xf numFmtId="0" fontId="7" fillId="0" borderId="42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7" fillId="0" borderId="40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4" fillId="4" borderId="46" xfId="0" applyFont="1" applyFill="1" applyBorder="1" applyAlignment="1">
      <alignment horizontal="center" vertical="center" wrapText="1"/>
    </xf>
    <xf numFmtId="0" fontId="4" fillId="4" borderId="42" xfId="0" applyFont="1" applyFill="1" applyBorder="1" applyAlignment="1">
      <alignment horizontal="center" vertical="center" wrapText="1"/>
    </xf>
    <xf numFmtId="0" fontId="4" fillId="4" borderId="24" xfId="0" applyFont="1" applyFill="1" applyBorder="1" applyAlignment="1">
      <alignment horizontal="center" vertical="center" wrapText="1"/>
    </xf>
    <xf numFmtId="16" fontId="5" fillId="0" borderId="24" xfId="0" applyNumberFormat="1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43" xfId="0" applyFont="1" applyBorder="1" applyAlignment="1">
      <alignment horizontal="center" vertical="center" wrapText="1"/>
    </xf>
    <xf numFmtId="0" fontId="4" fillId="4" borderId="40" xfId="0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4" borderId="39" xfId="0" applyFont="1" applyFill="1" applyBorder="1" applyAlignment="1">
      <alignment horizontal="center" vertical="center" wrapText="1"/>
    </xf>
    <xf numFmtId="0" fontId="7" fillId="4" borderId="40" xfId="0" applyFont="1" applyFill="1" applyBorder="1" applyAlignment="1">
      <alignment horizontal="center" vertical="center" wrapText="1"/>
    </xf>
    <xf numFmtId="0" fontId="7" fillId="4" borderId="41" xfId="0" applyFont="1" applyFill="1" applyBorder="1" applyAlignment="1">
      <alignment horizontal="center" vertical="center" wrapText="1"/>
    </xf>
    <xf numFmtId="0" fontId="1" fillId="5" borderId="14" xfId="0" applyFont="1" applyFill="1" applyBorder="1" applyAlignment="1">
      <alignment horizontal="center"/>
    </xf>
    <xf numFmtId="0" fontId="1" fillId="5" borderId="6" xfId="0" applyFont="1" applyFill="1" applyBorder="1" applyAlignment="1">
      <alignment horizontal="center"/>
    </xf>
    <xf numFmtId="0" fontId="1" fillId="5" borderId="23" xfId="0" applyFont="1" applyFill="1" applyBorder="1" applyAlignment="1">
      <alignment horizontal="center"/>
    </xf>
    <xf numFmtId="0" fontId="7" fillId="4" borderId="7" xfId="0" applyFont="1" applyFill="1" applyBorder="1" applyAlignment="1">
      <alignment horizontal="center" vertical="center" wrapText="1"/>
    </xf>
    <xf numFmtId="0" fontId="7" fillId="4" borderId="10" xfId="0" applyFont="1" applyFill="1" applyBorder="1" applyAlignment="1">
      <alignment horizontal="center" vertical="center" wrapText="1"/>
    </xf>
    <xf numFmtId="0" fontId="7" fillId="4" borderId="35" xfId="0" applyFont="1" applyFill="1" applyBorder="1" applyAlignment="1">
      <alignment horizontal="center" vertical="center" wrapText="1"/>
    </xf>
    <xf numFmtId="0" fontId="7" fillId="4" borderId="36" xfId="0" applyFont="1" applyFill="1" applyBorder="1" applyAlignment="1">
      <alignment horizontal="center" vertical="center" wrapText="1"/>
    </xf>
    <xf numFmtId="0" fontId="7" fillId="4" borderId="24" xfId="0" applyFont="1" applyFill="1" applyBorder="1" applyAlignment="1">
      <alignment horizontal="center" vertical="center"/>
    </xf>
    <xf numFmtId="0" fontId="7" fillId="4" borderId="27" xfId="0" applyFont="1" applyFill="1" applyBorder="1" applyAlignment="1">
      <alignment horizontal="center" vertical="center"/>
    </xf>
    <xf numFmtId="0" fontId="7" fillId="4" borderId="30" xfId="0" applyFont="1" applyFill="1" applyBorder="1" applyAlignment="1">
      <alignment horizontal="center" vertical="center" wrapText="1"/>
    </xf>
    <xf numFmtId="0" fontId="7" fillId="4" borderId="31" xfId="0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 wrapText="1"/>
    </xf>
    <xf numFmtId="0" fontId="7" fillId="4" borderId="11" xfId="0" applyFont="1" applyFill="1" applyBorder="1" applyAlignment="1">
      <alignment horizontal="center" vertical="center" wrapText="1"/>
    </xf>
    <xf numFmtId="2" fontId="9" fillId="0" borderId="0" xfId="6" applyNumberFormat="1" applyFont="1" applyBorder="1" applyAlignment="1">
      <alignment horizontal="center" vertical="center"/>
    </xf>
  </cellXfs>
  <cellStyles count="88">
    <cellStyle name="Comma" xfId="5" builtinId="3"/>
    <cellStyle name="Followed Hyperlink" xfId="2" builtinId="9" hidden="1"/>
    <cellStyle name="Followed Hyperlink" xfId="4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Hyperlink" xfId="1" builtinId="8" hidden="1"/>
    <cellStyle name="Hyperlink" xfId="3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Normal" xfId="0" builtinId="0"/>
    <cellStyle name="Normal 2" xfId="6"/>
    <cellStyle name="Percent 2" xfId="87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742420814479638"/>
          <c:y val="0.12638516260162602"/>
          <c:w val="0.85129378827646496"/>
          <c:h val="0.76929257858515698"/>
        </c:manualLayout>
      </c:layout>
      <c:scatterChart>
        <c:scatterStyle val="lineMarker"/>
        <c:varyColors val="0"/>
        <c:ser>
          <c:idx val="0"/>
          <c:order val="0"/>
          <c:tx>
            <c:strRef>
              <c:f>'UT-GOM2-1-H002-4CS-1'!$Z$4</c:f>
              <c:strCache>
                <c:ptCount val="1"/>
                <c:pt idx="0">
                  <c:v>total methane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  <a:tailEnd type="none" w="lg" len="sm"/>
            </a:ln>
          </c:spPr>
          <c:marker>
            <c:symbol val="square"/>
            <c:size val="9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'UT-GOM2-1-H002-4CS-1'!$Z$6:$Z$50</c:f>
              <c:numCache>
                <c:formatCode>0.00</c:formatCode>
                <c:ptCount val="45"/>
                <c:pt idx="0">
                  <c:v>0</c:v>
                </c:pt>
                <c:pt idx="1">
                  <c:v>0.56313322562042134</c:v>
                </c:pt>
                <c:pt idx="2">
                  <c:v>0.8300672428042748</c:v>
                </c:pt>
                <c:pt idx="3">
                  <c:v>1.1706076501085925</c:v>
                </c:pt>
                <c:pt idx="4">
                  <c:v>1.9022374314264627</c:v>
                </c:pt>
                <c:pt idx="5">
                  <c:v>2.542524343076769</c:v>
                </c:pt>
                <c:pt idx="6">
                  <c:v>3.937498459456175</c:v>
                </c:pt>
                <c:pt idx="7">
                  <c:v>5.5461971543781354</c:v>
                </c:pt>
                <c:pt idx="8">
                  <c:v>6.9562472783725751</c:v>
                </c:pt>
                <c:pt idx="9">
                  <c:v>6.9562472783725751</c:v>
                </c:pt>
                <c:pt idx="10">
                  <c:v>10.566921375833715</c:v>
                </c:pt>
                <c:pt idx="11">
                  <c:v>11.290569741355389</c:v>
                </c:pt>
                <c:pt idx="12">
                  <c:v>15.291785183617824</c:v>
                </c:pt>
                <c:pt idx="13">
                  <c:v>18.421908537285354</c:v>
                </c:pt>
                <c:pt idx="14">
                  <c:v>19.973128159456699</c:v>
                </c:pt>
                <c:pt idx="15">
                  <c:v>20.670958061179363</c:v>
                </c:pt>
                <c:pt idx="16">
                  <c:v>21.060330974362696</c:v>
                </c:pt>
                <c:pt idx="17">
                  <c:v>21.680512197088056</c:v>
                </c:pt>
                <c:pt idx="18">
                  <c:v>21.443536980404346</c:v>
                </c:pt>
                <c:pt idx="19">
                  <c:v>21.578367734340102</c:v>
                </c:pt>
                <c:pt idx="20">
                  <c:v>22.101990406991668</c:v>
                </c:pt>
                <c:pt idx="21">
                  <c:v>22.368797954538252</c:v>
                </c:pt>
                <c:pt idx="22">
                  <c:v>22.76403048151592</c:v>
                </c:pt>
                <c:pt idx="23">
                  <c:v>22.788557393462007</c:v>
                </c:pt>
                <c:pt idx="24">
                  <c:v>23.248694342747704</c:v>
                </c:pt>
                <c:pt idx="25">
                  <c:v>23.456775026859756</c:v>
                </c:pt>
                <c:pt idx="26">
                  <c:v>23.48531636629447</c:v>
                </c:pt>
              </c:numCache>
            </c:numRef>
          </c:xVal>
          <c:yVal>
            <c:numRef>
              <c:f>'UT-GOM2-1-H002-4CS-1'!$D$6:$D$50</c:f>
              <c:numCache>
                <c:formatCode>General</c:formatCode>
                <c:ptCount val="45"/>
                <c:pt idx="0">
                  <c:v>205</c:v>
                </c:pt>
                <c:pt idx="1">
                  <c:v>205</c:v>
                </c:pt>
                <c:pt idx="2">
                  <c:v>126</c:v>
                </c:pt>
                <c:pt idx="3">
                  <c:v>103</c:v>
                </c:pt>
                <c:pt idx="4">
                  <c:v>79</c:v>
                </c:pt>
                <c:pt idx="5">
                  <c:v>76</c:v>
                </c:pt>
                <c:pt idx="6">
                  <c:v>74</c:v>
                </c:pt>
                <c:pt idx="7">
                  <c:v>73</c:v>
                </c:pt>
                <c:pt idx="8">
                  <c:v>73</c:v>
                </c:pt>
                <c:pt idx="9">
                  <c:v>73</c:v>
                </c:pt>
                <c:pt idx="10">
                  <c:v>73</c:v>
                </c:pt>
                <c:pt idx="11">
                  <c:v>57</c:v>
                </c:pt>
                <c:pt idx="12">
                  <c:v>73</c:v>
                </c:pt>
                <c:pt idx="13">
                  <c:v>71</c:v>
                </c:pt>
                <c:pt idx="14">
                  <c:v>68</c:v>
                </c:pt>
                <c:pt idx="15">
                  <c:v>64</c:v>
                </c:pt>
                <c:pt idx="16">
                  <c:v>57</c:v>
                </c:pt>
                <c:pt idx="17">
                  <c:v>51</c:v>
                </c:pt>
                <c:pt idx="18">
                  <c:v>40</c:v>
                </c:pt>
                <c:pt idx="19">
                  <c:v>33</c:v>
                </c:pt>
                <c:pt idx="20">
                  <c:v>25</c:v>
                </c:pt>
                <c:pt idx="21">
                  <c:v>22</c:v>
                </c:pt>
                <c:pt idx="22">
                  <c:v>19</c:v>
                </c:pt>
                <c:pt idx="23">
                  <c:v>15</c:v>
                </c:pt>
                <c:pt idx="24">
                  <c:v>11</c:v>
                </c:pt>
                <c:pt idx="25">
                  <c:v>7</c:v>
                </c:pt>
                <c:pt idx="26">
                  <c:v>4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'UT-GOM2-1-H002-4CS-1'!$U$4</c:f>
              <c:strCache>
                <c:ptCount val="1"/>
                <c:pt idx="0">
                  <c:v>expelled methane</c:v>
                </c:pt>
              </c:strCache>
            </c:strRef>
          </c:tx>
          <c:spPr>
            <a:ln w="25400">
              <a:solidFill>
                <a:srgbClr val="00B050"/>
              </a:solidFill>
              <a:prstDash val="solid"/>
            </a:ln>
          </c:spPr>
          <c:marker>
            <c:symbol val="circle"/>
            <c:size val="8"/>
            <c:spPr>
              <a:solidFill>
                <a:srgbClr val="00B050"/>
              </a:solidFill>
              <a:ln>
                <a:solidFill>
                  <a:srgbClr val="00B050"/>
                </a:solidFill>
                <a:prstDash val="solid"/>
              </a:ln>
            </c:spPr>
          </c:marker>
          <c:xVal>
            <c:numRef>
              <c:f>'UT-GOM2-1-H002-4CS-1'!$V$6:$V$50</c:f>
              <c:numCache>
                <c:formatCode>0.00</c:formatCode>
                <c:ptCount val="4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0.7976684412910966</c:v>
                </c:pt>
                <c:pt idx="11">
                  <c:v>0.7976684412910966</c:v>
                </c:pt>
                <c:pt idx="12">
                  <c:v>2.2928689479513995</c:v>
                </c:pt>
                <c:pt idx="13">
                  <c:v>3.7631844911704819</c:v>
                </c:pt>
                <c:pt idx="14">
                  <c:v>5.0320309881711909</c:v>
                </c:pt>
                <c:pt idx="15">
                  <c:v>6.5223279049446381</c:v>
                </c:pt>
                <c:pt idx="16">
                  <c:v>8.0063453363575512</c:v>
                </c:pt>
                <c:pt idx="17">
                  <c:v>9.5173399086468873</c:v>
                </c:pt>
                <c:pt idx="18">
                  <c:v>11.104840535229354</c:v>
                </c:pt>
                <c:pt idx="19">
                  <c:v>12.561120297266401</c:v>
                </c:pt>
                <c:pt idx="20">
                  <c:v>14.017400059303448</c:v>
                </c:pt>
                <c:pt idx="21">
                  <c:v>15.301225638994003</c:v>
                </c:pt>
                <c:pt idx="22">
                  <c:v>17.064300759852401</c:v>
                </c:pt>
                <c:pt idx="23">
                  <c:v>18.674065000636155</c:v>
                </c:pt>
                <c:pt idx="24">
                  <c:v>20.226337661391916</c:v>
                </c:pt>
                <c:pt idx="25">
                  <c:v>21.531707057248838</c:v>
                </c:pt>
                <c:pt idx="26">
                  <c:v>23.067435758256977</c:v>
                </c:pt>
              </c:numCache>
            </c:numRef>
          </c:xVal>
          <c:yVal>
            <c:numRef>
              <c:f>'UT-GOM2-1-H002-4CS-1'!$D$6:$D$50</c:f>
              <c:numCache>
                <c:formatCode>General</c:formatCode>
                <c:ptCount val="45"/>
                <c:pt idx="0">
                  <c:v>205</c:v>
                </c:pt>
                <c:pt idx="1">
                  <c:v>205</c:v>
                </c:pt>
                <c:pt idx="2">
                  <c:v>126</c:v>
                </c:pt>
                <c:pt idx="3">
                  <c:v>103</c:v>
                </c:pt>
                <c:pt idx="4">
                  <c:v>79</c:v>
                </c:pt>
                <c:pt idx="5">
                  <c:v>76</c:v>
                </c:pt>
                <c:pt idx="6">
                  <c:v>74</c:v>
                </c:pt>
                <c:pt idx="7">
                  <c:v>73</c:v>
                </c:pt>
                <c:pt idx="8">
                  <c:v>73</c:v>
                </c:pt>
                <c:pt idx="9">
                  <c:v>73</c:v>
                </c:pt>
                <c:pt idx="10">
                  <c:v>73</c:v>
                </c:pt>
                <c:pt idx="11">
                  <c:v>57</c:v>
                </c:pt>
                <c:pt idx="12">
                  <c:v>73</c:v>
                </c:pt>
                <c:pt idx="13">
                  <c:v>71</c:v>
                </c:pt>
                <c:pt idx="14">
                  <c:v>68</c:v>
                </c:pt>
                <c:pt idx="15">
                  <c:v>64</c:v>
                </c:pt>
                <c:pt idx="16">
                  <c:v>57</c:v>
                </c:pt>
                <c:pt idx="17">
                  <c:v>51</c:v>
                </c:pt>
                <c:pt idx="18">
                  <c:v>40</c:v>
                </c:pt>
                <c:pt idx="19">
                  <c:v>33</c:v>
                </c:pt>
                <c:pt idx="20">
                  <c:v>25</c:v>
                </c:pt>
                <c:pt idx="21">
                  <c:v>22</c:v>
                </c:pt>
                <c:pt idx="22">
                  <c:v>19</c:v>
                </c:pt>
                <c:pt idx="23">
                  <c:v>15</c:v>
                </c:pt>
                <c:pt idx="24">
                  <c:v>11</c:v>
                </c:pt>
                <c:pt idx="25">
                  <c:v>7</c:v>
                </c:pt>
                <c:pt idx="26">
                  <c:v>4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'UT-GOM2-1-H002-4CS-1'!$W$4</c:f>
              <c:strCache>
                <c:ptCount val="1"/>
                <c:pt idx="0">
                  <c:v>methane remaining in chamber</c:v>
                </c:pt>
              </c:strCache>
            </c:strRef>
          </c:tx>
          <c:spPr>
            <a:ln w="25400">
              <a:solidFill>
                <a:srgbClr val="00B0F0"/>
              </a:solidFill>
            </a:ln>
          </c:spPr>
          <c:marker>
            <c:symbol val="triangle"/>
            <c:size val="8"/>
            <c:spPr>
              <a:solidFill>
                <a:srgbClr val="00B0F0"/>
              </a:solidFill>
              <a:ln>
                <a:solidFill>
                  <a:srgbClr val="00B0F0"/>
                </a:solidFill>
              </a:ln>
            </c:spPr>
          </c:marker>
          <c:xVal>
            <c:numRef>
              <c:f>'UT-GOM2-1-H002-4CS-1'!$Y$6:$Y$50</c:f>
              <c:numCache>
                <c:formatCode>0.00</c:formatCode>
                <c:ptCount val="45"/>
                <c:pt idx="0">
                  <c:v>0</c:v>
                </c:pt>
                <c:pt idx="1">
                  <c:v>0.56313322562042134</c:v>
                </c:pt>
                <c:pt idx="2">
                  <c:v>0.8300672428042748</c:v>
                </c:pt>
                <c:pt idx="3">
                  <c:v>1.1706076501085925</c:v>
                </c:pt>
                <c:pt idx="4">
                  <c:v>1.9022374314264627</c:v>
                </c:pt>
                <c:pt idx="5">
                  <c:v>2.542524343076769</c:v>
                </c:pt>
                <c:pt idx="6">
                  <c:v>3.937498459456175</c:v>
                </c:pt>
                <c:pt idx="7">
                  <c:v>5.5461971543781354</c:v>
                </c:pt>
                <c:pt idx="8">
                  <c:v>6.9562472783725751</c:v>
                </c:pt>
                <c:pt idx="9">
                  <c:v>6.9562472783725751</c:v>
                </c:pt>
                <c:pt idx="10">
                  <c:v>9.7692529345426191</c:v>
                </c:pt>
                <c:pt idx="11">
                  <c:v>10.492901300064293</c:v>
                </c:pt>
                <c:pt idx="12">
                  <c:v>12.998916235666425</c:v>
                </c:pt>
                <c:pt idx="13">
                  <c:v>14.658724046114871</c:v>
                </c:pt>
                <c:pt idx="14">
                  <c:v>14.941097171285508</c:v>
                </c:pt>
                <c:pt idx="15">
                  <c:v>14.148630156234725</c:v>
                </c:pt>
                <c:pt idx="16">
                  <c:v>13.053985638005145</c:v>
                </c:pt>
                <c:pt idx="17">
                  <c:v>12.163172288441167</c:v>
                </c:pt>
                <c:pt idx="18">
                  <c:v>10.338696445174993</c:v>
                </c:pt>
                <c:pt idx="19">
                  <c:v>9.017247437073701</c:v>
                </c:pt>
                <c:pt idx="20">
                  <c:v>8.0845903476882182</c:v>
                </c:pt>
                <c:pt idx="21">
                  <c:v>7.0675723155442505</c:v>
                </c:pt>
                <c:pt idx="22">
                  <c:v>5.6997297216635205</c:v>
                </c:pt>
                <c:pt idx="23">
                  <c:v>4.1144923928258539</c:v>
                </c:pt>
                <c:pt idx="24">
                  <c:v>3.0223566813557876</c:v>
                </c:pt>
                <c:pt idx="25">
                  <c:v>1.9250679696109176</c:v>
                </c:pt>
                <c:pt idx="26">
                  <c:v>0.41788060803749189</c:v>
                </c:pt>
              </c:numCache>
            </c:numRef>
          </c:xVal>
          <c:yVal>
            <c:numRef>
              <c:f>'UT-GOM2-1-H002-4CS-1'!$D$6:$D$50</c:f>
              <c:numCache>
                <c:formatCode>General</c:formatCode>
                <c:ptCount val="45"/>
                <c:pt idx="0">
                  <c:v>205</c:v>
                </c:pt>
                <c:pt idx="1">
                  <c:v>205</c:v>
                </c:pt>
                <c:pt idx="2">
                  <c:v>126</c:v>
                </c:pt>
                <c:pt idx="3">
                  <c:v>103</c:v>
                </c:pt>
                <c:pt idx="4">
                  <c:v>79</c:v>
                </c:pt>
                <c:pt idx="5">
                  <c:v>76</c:v>
                </c:pt>
                <c:pt idx="6">
                  <c:v>74</c:v>
                </c:pt>
                <c:pt idx="7">
                  <c:v>73</c:v>
                </c:pt>
                <c:pt idx="8">
                  <c:v>73</c:v>
                </c:pt>
                <c:pt idx="9">
                  <c:v>73</c:v>
                </c:pt>
                <c:pt idx="10">
                  <c:v>73</c:v>
                </c:pt>
                <c:pt idx="11">
                  <c:v>57</c:v>
                </c:pt>
                <c:pt idx="12">
                  <c:v>73</c:v>
                </c:pt>
                <c:pt idx="13">
                  <c:v>71</c:v>
                </c:pt>
                <c:pt idx="14">
                  <c:v>68</c:v>
                </c:pt>
                <c:pt idx="15">
                  <c:v>64</c:v>
                </c:pt>
                <c:pt idx="16">
                  <c:v>57</c:v>
                </c:pt>
                <c:pt idx="17">
                  <c:v>51</c:v>
                </c:pt>
                <c:pt idx="18">
                  <c:v>40</c:v>
                </c:pt>
                <c:pt idx="19">
                  <c:v>33</c:v>
                </c:pt>
                <c:pt idx="20">
                  <c:v>25</c:v>
                </c:pt>
                <c:pt idx="21">
                  <c:v>22</c:v>
                </c:pt>
                <c:pt idx="22">
                  <c:v>19</c:v>
                </c:pt>
                <c:pt idx="23">
                  <c:v>15</c:v>
                </c:pt>
                <c:pt idx="24">
                  <c:v>11</c:v>
                </c:pt>
                <c:pt idx="25">
                  <c:v>7</c:v>
                </c:pt>
                <c:pt idx="26">
                  <c:v>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4225648"/>
        <c:axId val="104226040"/>
      </c:scatterChart>
      <c:valAx>
        <c:axId val="104225648"/>
        <c:scaling>
          <c:orientation val="minMax"/>
          <c:min val="0"/>
        </c:scaling>
        <c:delete val="0"/>
        <c:axPos val="b"/>
        <c:minorGridlines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400" baseline="0"/>
                  <a:t>Volume CH4 @ STP (L)</a:t>
                </a:r>
              </a:p>
            </c:rich>
          </c:tx>
          <c:layout>
            <c:manualLayout>
              <c:xMode val="edge"/>
              <c:yMode val="edge"/>
              <c:x val="0.41233031674208137"/>
              <c:y val="0.9517440718157181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4226040"/>
        <c:crosses val="autoZero"/>
        <c:crossBetween val="midCat"/>
        <c:minorUnit val="1"/>
      </c:valAx>
      <c:valAx>
        <c:axId val="104226040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400" baseline="0"/>
                  <a:t>Pressure (bar)</a:t>
                </a:r>
              </a:p>
            </c:rich>
          </c:tx>
          <c:layout>
            <c:manualLayout>
              <c:xMode val="edge"/>
              <c:yMode val="edge"/>
              <c:x val="1.26675465057818E-2"/>
              <c:y val="0.406135331978319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4225648"/>
        <c:crosses val="autoZero"/>
        <c:crossBetween val="midCat"/>
      </c:valAx>
      <c:spPr>
        <a:solidFill>
          <a:schemeClr val="bg1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0936148818501756"/>
          <c:y val="0.14454454607046072"/>
          <c:w val="0.31237179487179489"/>
          <c:h val="0.1050558943089430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>
      <a:solidFill>
        <a:schemeClr val="tx1"/>
      </a:solidFill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" r="0.75" t="1" header="0.5" footer="0.5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672645" y="431497"/>
    <xdr:ext cx="7956000" cy="5904000"/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0.29124</cdr:x>
      <cdr:y>0.03465</cdr:y>
    </cdr:from>
    <cdr:to>
      <cdr:x>0.74495</cdr:x>
      <cdr:y>0.11339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317120" y="204574"/>
          <a:ext cx="3609717" cy="46488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en-GB" sz="2400" b="1">
              <a:latin typeface="Arial" panose="020B0604020202020204" pitchFamily="34" charset="0"/>
              <a:cs typeface="Arial" panose="020B0604020202020204" pitchFamily="34" charset="0"/>
            </a:rPr>
            <a:t>UT-GOM2-1-H002-4CS-1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17"/>
  <sheetViews>
    <sheetView tabSelected="1" zoomScale="75" zoomScaleNormal="75" zoomScalePageLayoutView="70" workbookViewId="0">
      <selection activeCell="M34" sqref="M34"/>
    </sheetView>
  </sheetViews>
  <sheetFormatPr defaultColWidth="11" defaultRowHeight="12.75" x14ac:dyDescent="0.2"/>
  <cols>
    <col min="1" max="1" width="11.25" style="2" customWidth="1"/>
    <col min="2" max="2" width="15.375" style="2" customWidth="1"/>
    <col min="3" max="3" width="20" customWidth="1"/>
    <col min="4" max="5" width="12.125" customWidth="1"/>
    <col min="6" max="6" width="12.125" style="9" customWidth="1"/>
    <col min="7" max="7" width="12.125" style="1" customWidth="1"/>
    <col min="8" max="8" width="0.375" style="1" customWidth="1"/>
    <col min="9" max="12" width="13.625" customWidth="1"/>
    <col min="13" max="13" width="21.125" customWidth="1"/>
    <col min="14" max="14" width="39.75" style="8" customWidth="1"/>
    <col min="15" max="15" width="13" style="46" customWidth="1"/>
    <col min="16" max="16" width="13" style="47" customWidth="1"/>
    <col min="17" max="17" width="13" style="48" customWidth="1"/>
    <col min="18" max="18" width="13" style="46" customWidth="1"/>
    <col min="19" max="19" width="13" style="48" customWidth="1"/>
    <col min="20" max="20" width="14.125" style="46" customWidth="1"/>
    <col min="21" max="21" width="13" style="46" customWidth="1"/>
    <col min="22" max="22" width="13" style="49" customWidth="1"/>
    <col min="23" max="23" width="17" style="49" customWidth="1"/>
    <col min="24" max="24" width="13.125" style="49" customWidth="1"/>
    <col min="25" max="25" width="14.875" style="49" customWidth="1"/>
    <col min="26" max="26" width="20.375" style="46" customWidth="1"/>
    <col min="27" max="16384" width="11" style="3"/>
  </cols>
  <sheetData>
    <row r="1" spans="1:26" ht="24.95" customHeight="1" x14ac:dyDescent="0.2">
      <c r="A1" s="92" t="s">
        <v>1</v>
      </c>
      <c r="B1" s="93"/>
      <c r="C1" s="93"/>
      <c r="D1" s="93"/>
      <c r="E1" s="93"/>
      <c r="F1" s="94">
        <v>41409</v>
      </c>
      <c r="G1" s="95"/>
      <c r="H1" s="96"/>
      <c r="I1" s="97" t="s">
        <v>11</v>
      </c>
      <c r="J1" s="93"/>
      <c r="K1" s="93"/>
      <c r="L1" s="95" t="s">
        <v>49</v>
      </c>
      <c r="M1" s="95"/>
      <c r="N1" s="96"/>
      <c r="O1" s="4" t="s">
        <v>13</v>
      </c>
      <c r="P1" s="4" t="s">
        <v>13</v>
      </c>
      <c r="Q1" s="4" t="s">
        <v>13</v>
      </c>
      <c r="R1" s="4" t="s">
        <v>13</v>
      </c>
      <c r="S1" s="6" t="s">
        <v>13</v>
      </c>
      <c r="T1" s="4"/>
      <c r="U1" s="6" t="s">
        <v>13</v>
      </c>
      <c r="W1" s="7"/>
      <c r="X1" s="7"/>
    </row>
    <row r="2" spans="1:26" ht="24.95" customHeight="1" thickBot="1" x14ac:dyDescent="0.25">
      <c r="A2" s="87" t="s">
        <v>10</v>
      </c>
      <c r="B2" s="88"/>
      <c r="C2" s="88"/>
      <c r="D2" s="88"/>
      <c r="E2" s="88"/>
      <c r="F2" s="89">
        <v>1011</v>
      </c>
      <c r="G2" s="89"/>
      <c r="H2" s="90"/>
      <c r="I2" s="91" t="s">
        <v>4</v>
      </c>
      <c r="J2" s="88"/>
      <c r="K2" s="88"/>
      <c r="L2" s="89" t="s">
        <v>50</v>
      </c>
      <c r="M2" s="89"/>
      <c r="N2" s="72">
        <f>IF(L2="red",4025, IF(L2="green",4140,IF(L2="yellow",4122,IF(L2="blue",4059,0))))</f>
        <v>4140</v>
      </c>
      <c r="O2" s="4"/>
      <c r="P2" s="5"/>
      <c r="Q2" s="6" t="s">
        <v>13</v>
      </c>
      <c r="S2" s="6" t="s">
        <v>13</v>
      </c>
      <c r="U2" s="4" t="s">
        <v>13</v>
      </c>
      <c r="V2" s="4" t="s">
        <v>13</v>
      </c>
      <c r="W2" s="4" t="s">
        <v>13</v>
      </c>
      <c r="X2" s="4"/>
      <c r="Y2" s="4"/>
      <c r="Z2" s="4" t="s">
        <v>13</v>
      </c>
    </row>
    <row r="3" spans="1:26" ht="24.95" customHeight="1" thickBot="1" x14ac:dyDescent="0.25">
      <c r="A3" s="103"/>
      <c r="B3" s="104"/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5"/>
      <c r="Q3" s="82" t="s">
        <v>35</v>
      </c>
      <c r="R3" s="83"/>
      <c r="S3" s="84"/>
    </row>
    <row r="4" spans="1:26" ht="24.95" customHeight="1" x14ac:dyDescent="0.2">
      <c r="A4" s="106" t="s">
        <v>17</v>
      </c>
      <c r="B4" s="98" t="s">
        <v>16</v>
      </c>
      <c r="C4" s="108" t="s">
        <v>28</v>
      </c>
      <c r="D4" s="100" t="s">
        <v>31</v>
      </c>
      <c r="E4" s="102"/>
      <c r="F4" s="100" t="s">
        <v>3</v>
      </c>
      <c r="G4" s="101"/>
      <c r="H4" s="61"/>
      <c r="I4" s="110" t="s">
        <v>2</v>
      </c>
      <c r="J4" s="110"/>
      <c r="K4" s="110"/>
      <c r="L4" s="111"/>
      <c r="M4" s="112" t="s">
        <v>26</v>
      </c>
      <c r="N4" s="114" t="s">
        <v>29</v>
      </c>
      <c r="O4" s="81" t="s">
        <v>34</v>
      </c>
      <c r="P4" s="80"/>
      <c r="Q4" s="52" t="s">
        <v>37</v>
      </c>
      <c r="R4" s="85" t="s">
        <v>36</v>
      </c>
      <c r="S4" s="86"/>
      <c r="T4" s="56" t="s">
        <v>38</v>
      </c>
      <c r="U4" s="79" t="s">
        <v>32</v>
      </c>
      <c r="V4" s="80"/>
      <c r="W4" s="76" t="s">
        <v>45</v>
      </c>
      <c r="X4" s="77"/>
      <c r="Y4" s="78"/>
      <c r="Z4" s="56" t="s">
        <v>33</v>
      </c>
    </row>
    <row r="5" spans="1:26" s="4" customFormat="1" ht="77.25" customHeight="1" thickBot="1" x14ac:dyDescent="0.25">
      <c r="A5" s="107"/>
      <c r="B5" s="99"/>
      <c r="C5" s="109"/>
      <c r="D5" s="62" t="s">
        <v>5</v>
      </c>
      <c r="E5" s="63" t="s">
        <v>6</v>
      </c>
      <c r="F5" s="62" t="s">
        <v>0</v>
      </c>
      <c r="G5" s="63" t="s">
        <v>7</v>
      </c>
      <c r="H5" s="64"/>
      <c r="I5" s="64" t="s">
        <v>5</v>
      </c>
      <c r="J5" s="63" t="s">
        <v>6</v>
      </c>
      <c r="K5" s="64" t="s">
        <v>8</v>
      </c>
      <c r="L5" s="65" t="s">
        <v>9</v>
      </c>
      <c r="M5" s="113"/>
      <c r="N5" s="115"/>
      <c r="O5" s="59" t="s">
        <v>30</v>
      </c>
      <c r="P5" s="51" t="s">
        <v>14</v>
      </c>
      <c r="Q5" s="53" t="s">
        <v>44</v>
      </c>
      <c r="R5" s="54" t="s">
        <v>15</v>
      </c>
      <c r="S5" s="55" t="s">
        <v>43</v>
      </c>
      <c r="T5" s="57" t="s">
        <v>12</v>
      </c>
      <c r="U5" s="50" t="s">
        <v>42</v>
      </c>
      <c r="V5" s="70" t="s">
        <v>39</v>
      </c>
      <c r="W5" s="58" t="s">
        <v>46</v>
      </c>
      <c r="X5" s="74" t="s">
        <v>47</v>
      </c>
      <c r="Y5" s="71" t="s">
        <v>40</v>
      </c>
      <c r="Z5" s="57" t="s">
        <v>41</v>
      </c>
    </row>
    <row r="6" spans="1:26" s="34" customFormat="1" ht="20.25" customHeight="1" x14ac:dyDescent="0.2">
      <c r="A6" s="23">
        <v>1</v>
      </c>
      <c r="B6" s="24">
        <v>41409</v>
      </c>
      <c r="C6" s="25">
        <v>0.1451388888888889</v>
      </c>
      <c r="D6" s="26">
        <v>205</v>
      </c>
      <c r="E6" s="27">
        <v>205</v>
      </c>
      <c r="F6" s="28">
        <v>0</v>
      </c>
      <c r="G6" s="29">
        <v>0</v>
      </c>
      <c r="H6" s="30"/>
      <c r="I6" s="31">
        <v>1</v>
      </c>
      <c r="J6" s="31">
        <v>1</v>
      </c>
      <c r="K6" s="32">
        <v>0</v>
      </c>
      <c r="L6" s="27">
        <v>10.3</v>
      </c>
      <c r="M6" s="26"/>
      <c r="N6" s="33"/>
      <c r="O6" s="60">
        <v>0</v>
      </c>
      <c r="P6" s="60">
        <v>0</v>
      </c>
      <c r="Q6" s="66">
        <f t="shared" ref="Q6:Q20" si="0">F6*$F$2/1000*273/(273+L6)</f>
        <v>0</v>
      </c>
      <c r="R6" s="67">
        <f t="shared" ref="R6:R20" si="1">$N$2-K6</f>
        <v>4140</v>
      </c>
      <c r="S6" s="68">
        <f>IF(I6=J6,0,R6*(J6-I6))*273/(273+L6)</f>
        <v>0</v>
      </c>
      <c r="T6" s="75">
        <f t="shared" ref="T6:T14" si="2">T7</f>
        <v>93.040601591685459</v>
      </c>
      <c r="U6" s="66">
        <f>(S6+Q6)*T6/100</f>
        <v>0</v>
      </c>
      <c r="V6" s="69">
        <f>U6/1000</f>
        <v>0</v>
      </c>
      <c r="W6" s="69">
        <f>(G6+K6)/1000</f>
        <v>0</v>
      </c>
      <c r="X6" s="69">
        <v>0</v>
      </c>
      <c r="Y6" s="69">
        <f>(W6-X6)*(E6+1)*1000/$F$2*273/(273+L6)*T6/100</f>
        <v>0</v>
      </c>
      <c r="Z6" s="69">
        <f>V6+Y6</f>
        <v>0</v>
      </c>
    </row>
    <row r="7" spans="1:26" s="40" customFormat="1" ht="20.25" customHeight="1" x14ac:dyDescent="0.2">
      <c r="A7" s="23">
        <v>2</v>
      </c>
      <c r="B7" s="24">
        <v>41409</v>
      </c>
      <c r="C7" s="25">
        <v>0.1451388888888889</v>
      </c>
      <c r="D7" s="26">
        <v>205</v>
      </c>
      <c r="E7" s="27">
        <v>126</v>
      </c>
      <c r="F7" s="26">
        <v>0</v>
      </c>
      <c r="G7" s="29">
        <v>5</v>
      </c>
      <c r="H7" s="30"/>
      <c r="I7" s="31">
        <v>1</v>
      </c>
      <c r="J7" s="31">
        <v>1</v>
      </c>
      <c r="K7" s="32">
        <v>0</v>
      </c>
      <c r="L7" s="27">
        <v>10.3</v>
      </c>
      <c r="M7" s="26"/>
      <c r="N7" s="33"/>
      <c r="O7" s="66">
        <f t="shared" ref="O7:O20" si="3">((B7 +C7) - (B6 + C6)) * 24 * 60</f>
        <v>0</v>
      </c>
      <c r="P7" s="69">
        <f>P6+O7/60</f>
        <v>0</v>
      </c>
      <c r="Q7" s="66">
        <f t="shared" si="0"/>
        <v>0</v>
      </c>
      <c r="R7" s="67">
        <f t="shared" si="1"/>
        <v>4140</v>
      </c>
      <c r="S7" s="68">
        <f t="shared" ref="S7:S20" si="4">IF(I7=J7,0,R7*(J7-I7))*273/(273+L7)</f>
        <v>0</v>
      </c>
      <c r="T7" s="75">
        <f t="shared" si="2"/>
        <v>93.040601591685459</v>
      </c>
      <c r="U7" s="66">
        <f>(S7+Q7)*T7/100</f>
        <v>0</v>
      </c>
      <c r="V7" s="69">
        <f t="shared" ref="V7:V9" si="5">V6+U7/1000</f>
        <v>0</v>
      </c>
      <c r="W7" s="69">
        <f>W6+(G7+K7)/1000</f>
        <v>5.0000000000000001E-3</v>
      </c>
      <c r="X7" s="69">
        <v>0</v>
      </c>
      <c r="Y7" s="69">
        <f t="shared" ref="Y7:Y20" si="6">(W7-X7)*(E7+1)*1000/$F$2*273/(273+L7)*T7/100</f>
        <v>0.56313322562042134</v>
      </c>
      <c r="Z7" s="69">
        <f>V7+Y7</f>
        <v>0.56313322562042134</v>
      </c>
    </row>
    <row r="8" spans="1:26" s="40" customFormat="1" ht="20.25" customHeight="1" x14ac:dyDescent="0.2">
      <c r="A8" s="35">
        <v>3</v>
      </c>
      <c r="B8" s="24">
        <v>41409</v>
      </c>
      <c r="C8" s="25">
        <v>0.14722222222222223</v>
      </c>
      <c r="D8" s="26">
        <v>126</v>
      </c>
      <c r="E8" s="27">
        <v>103</v>
      </c>
      <c r="F8" s="36">
        <v>0</v>
      </c>
      <c r="G8" s="29">
        <v>4</v>
      </c>
      <c r="H8" s="37"/>
      <c r="I8" s="31">
        <v>1</v>
      </c>
      <c r="J8" s="31">
        <v>1</v>
      </c>
      <c r="K8" s="32">
        <v>0</v>
      </c>
      <c r="L8" s="27">
        <v>10.3</v>
      </c>
      <c r="M8" s="38"/>
      <c r="N8" s="39"/>
      <c r="O8" s="66">
        <f t="shared" si="3"/>
        <v>2.9999999993015081</v>
      </c>
      <c r="P8" s="69">
        <f t="shared" ref="P8:P20" si="7">P7+O8/60</f>
        <v>4.9999999988358468E-2</v>
      </c>
      <c r="Q8" s="66">
        <f t="shared" si="0"/>
        <v>0</v>
      </c>
      <c r="R8" s="67">
        <f t="shared" si="1"/>
        <v>4140</v>
      </c>
      <c r="S8" s="68">
        <f t="shared" si="4"/>
        <v>0</v>
      </c>
      <c r="T8" s="75">
        <f t="shared" si="2"/>
        <v>93.040601591685459</v>
      </c>
      <c r="U8" s="66">
        <f t="shared" ref="U8:U20" si="8">(S8+Q8)*T8/100</f>
        <v>0</v>
      </c>
      <c r="V8" s="69">
        <f t="shared" si="5"/>
        <v>0</v>
      </c>
      <c r="W8" s="69">
        <f t="shared" ref="W8:W20" si="9">W7+(G8+K8)/1000</f>
        <v>9.0000000000000011E-3</v>
      </c>
      <c r="X8" s="69">
        <v>0</v>
      </c>
      <c r="Y8" s="69">
        <f t="shared" si="6"/>
        <v>0.8300672428042748</v>
      </c>
      <c r="Z8" s="69">
        <f t="shared" ref="Z8:Z20" si="10">V8+Y8</f>
        <v>0.8300672428042748</v>
      </c>
    </row>
    <row r="9" spans="1:26" s="40" customFormat="1" ht="20.25" customHeight="1" x14ac:dyDescent="0.2">
      <c r="A9" s="35">
        <f t="shared" ref="A9:A32" si="11">A8+1</f>
        <v>4</v>
      </c>
      <c r="B9" s="24">
        <v>41409</v>
      </c>
      <c r="C9" s="25">
        <v>0.14861111111111111</v>
      </c>
      <c r="D9" s="26">
        <v>103</v>
      </c>
      <c r="E9" s="27">
        <v>59</v>
      </c>
      <c r="F9" s="36">
        <v>0</v>
      </c>
      <c r="G9" s="29">
        <v>13</v>
      </c>
      <c r="H9" s="37"/>
      <c r="I9" s="31">
        <v>1</v>
      </c>
      <c r="J9" s="31">
        <v>1</v>
      </c>
      <c r="K9" s="32">
        <v>0</v>
      </c>
      <c r="L9" s="27">
        <v>10.3</v>
      </c>
      <c r="M9" s="38"/>
      <c r="N9" s="39"/>
      <c r="O9" s="66">
        <f t="shared" si="3"/>
        <v>1.9999999960418791</v>
      </c>
      <c r="P9" s="69">
        <f t="shared" si="7"/>
        <v>8.3333333255723119E-2</v>
      </c>
      <c r="Q9" s="66">
        <f t="shared" si="0"/>
        <v>0</v>
      </c>
      <c r="R9" s="67">
        <f t="shared" si="1"/>
        <v>4140</v>
      </c>
      <c r="S9" s="68">
        <f t="shared" si="4"/>
        <v>0</v>
      </c>
      <c r="T9" s="75">
        <f t="shared" si="2"/>
        <v>93.040601591685459</v>
      </c>
      <c r="U9" s="66">
        <f t="shared" si="8"/>
        <v>0</v>
      </c>
      <c r="V9" s="69">
        <f t="shared" si="5"/>
        <v>0</v>
      </c>
      <c r="W9" s="69">
        <f t="shared" si="9"/>
        <v>2.1999999999999999E-2</v>
      </c>
      <c r="X9" s="69">
        <v>0</v>
      </c>
      <c r="Y9" s="69">
        <f t="shared" si="6"/>
        <v>1.1706076501085925</v>
      </c>
      <c r="Z9" s="69">
        <f t="shared" si="10"/>
        <v>1.1706076501085925</v>
      </c>
    </row>
    <row r="10" spans="1:26" s="40" customFormat="1" ht="20.25" customHeight="1" x14ac:dyDescent="0.2">
      <c r="A10" s="35">
        <f t="shared" si="11"/>
        <v>5</v>
      </c>
      <c r="B10" s="24">
        <v>41409</v>
      </c>
      <c r="C10" s="25">
        <v>0.18611111111111112</v>
      </c>
      <c r="D10" s="26">
        <v>79</v>
      </c>
      <c r="E10" s="27">
        <v>64</v>
      </c>
      <c r="F10" s="36">
        <v>0</v>
      </c>
      <c r="G10" s="29">
        <v>11</v>
      </c>
      <c r="H10" s="37"/>
      <c r="I10" s="31">
        <v>1</v>
      </c>
      <c r="J10" s="31">
        <v>1</v>
      </c>
      <c r="K10" s="32">
        <v>0</v>
      </c>
      <c r="L10" s="27">
        <v>10.3</v>
      </c>
      <c r="M10" s="38"/>
      <c r="N10" s="39"/>
      <c r="O10" s="66">
        <f t="shared" si="3"/>
        <v>54.000000008381903</v>
      </c>
      <c r="P10" s="69">
        <f t="shared" si="7"/>
        <v>0.9833333333954215</v>
      </c>
      <c r="Q10" s="66">
        <f t="shared" si="0"/>
        <v>0</v>
      </c>
      <c r="R10" s="67">
        <f t="shared" si="1"/>
        <v>4140</v>
      </c>
      <c r="S10" s="68">
        <f t="shared" si="4"/>
        <v>0</v>
      </c>
      <c r="T10" s="75">
        <f t="shared" si="2"/>
        <v>93.040601591685459</v>
      </c>
      <c r="U10" s="66">
        <f t="shared" si="8"/>
        <v>0</v>
      </c>
      <c r="V10" s="69">
        <f>V9+U10/1000</f>
        <v>0</v>
      </c>
      <c r="W10" s="69">
        <f t="shared" si="9"/>
        <v>3.3000000000000002E-2</v>
      </c>
      <c r="X10" s="69">
        <v>0</v>
      </c>
      <c r="Y10" s="69">
        <f t="shared" si="6"/>
        <v>1.9022374314264627</v>
      </c>
      <c r="Z10" s="69">
        <f t="shared" si="10"/>
        <v>1.9022374314264627</v>
      </c>
    </row>
    <row r="11" spans="1:26" s="40" customFormat="1" ht="20.25" customHeight="1" x14ac:dyDescent="0.2">
      <c r="A11" s="35">
        <f t="shared" si="11"/>
        <v>6</v>
      </c>
      <c r="B11" s="24">
        <v>41409</v>
      </c>
      <c r="C11" s="25">
        <v>0.26250000000000001</v>
      </c>
      <c r="D11" s="26">
        <v>76</v>
      </c>
      <c r="E11" s="27">
        <v>60</v>
      </c>
      <c r="F11" s="36">
        <v>0</v>
      </c>
      <c r="G11" s="29">
        <v>14</v>
      </c>
      <c r="H11" s="37"/>
      <c r="I11" s="31">
        <v>1</v>
      </c>
      <c r="J11" s="31">
        <v>1</v>
      </c>
      <c r="K11" s="32">
        <v>0</v>
      </c>
      <c r="L11" s="27">
        <v>10.3</v>
      </c>
      <c r="M11" s="38"/>
      <c r="N11" s="39"/>
      <c r="O11" s="66">
        <f t="shared" si="3"/>
        <v>109.99999999185093</v>
      </c>
      <c r="P11" s="69">
        <f t="shared" si="7"/>
        <v>2.816666666592937</v>
      </c>
      <c r="Q11" s="66">
        <f t="shared" si="0"/>
        <v>0</v>
      </c>
      <c r="R11" s="67">
        <f t="shared" si="1"/>
        <v>4140</v>
      </c>
      <c r="S11" s="68">
        <f t="shared" si="4"/>
        <v>0</v>
      </c>
      <c r="T11" s="75">
        <f t="shared" si="2"/>
        <v>93.040601591685459</v>
      </c>
      <c r="U11" s="66">
        <f t="shared" si="8"/>
        <v>0</v>
      </c>
      <c r="V11" s="69">
        <f t="shared" ref="V11:V20" si="12">V10+U11/1000</f>
        <v>0</v>
      </c>
      <c r="W11" s="69">
        <f t="shared" si="9"/>
        <v>4.7E-2</v>
      </c>
      <c r="X11" s="69">
        <v>0</v>
      </c>
      <c r="Y11" s="69">
        <f t="shared" si="6"/>
        <v>2.542524343076769</v>
      </c>
      <c r="Z11" s="69">
        <f t="shared" si="10"/>
        <v>2.542524343076769</v>
      </c>
    </row>
    <row r="12" spans="1:26" s="40" customFormat="1" ht="20.25" customHeight="1" x14ac:dyDescent="0.2">
      <c r="A12" s="35">
        <f t="shared" si="11"/>
        <v>7</v>
      </c>
      <c r="B12" s="24">
        <v>41409</v>
      </c>
      <c r="C12" s="25">
        <v>0.33333333333333331</v>
      </c>
      <c r="D12" s="26">
        <v>74</v>
      </c>
      <c r="E12" s="27">
        <v>59</v>
      </c>
      <c r="F12" s="36">
        <v>0</v>
      </c>
      <c r="G12" s="29">
        <v>27</v>
      </c>
      <c r="H12" s="37"/>
      <c r="I12" s="31">
        <v>1</v>
      </c>
      <c r="J12" s="31">
        <v>1</v>
      </c>
      <c r="K12" s="32">
        <v>0</v>
      </c>
      <c r="L12" s="27">
        <v>10.3</v>
      </c>
      <c r="M12" s="38"/>
      <c r="N12" s="39"/>
      <c r="O12" s="66">
        <f t="shared" si="3"/>
        <v>102.00000000768341</v>
      </c>
      <c r="P12" s="69">
        <f t="shared" si="7"/>
        <v>4.5166666667209938</v>
      </c>
      <c r="Q12" s="66">
        <f t="shared" si="0"/>
        <v>0</v>
      </c>
      <c r="R12" s="67">
        <f t="shared" si="1"/>
        <v>4140</v>
      </c>
      <c r="S12" s="68">
        <f t="shared" si="4"/>
        <v>0</v>
      </c>
      <c r="T12" s="75">
        <f t="shared" si="2"/>
        <v>93.040601591685459</v>
      </c>
      <c r="U12" s="66">
        <f t="shared" si="8"/>
        <v>0</v>
      </c>
      <c r="V12" s="69">
        <f t="shared" si="12"/>
        <v>0</v>
      </c>
      <c r="W12" s="69">
        <f t="shared" si="9"/>
        <v>7.3999999999999996E-2</v>
      </c>
      <c r="X12" s="69">
        <v>0</v>
      </c>
      <c r="Y12" s="69">
        <f t="shared" si="6"/>
        <v>3.937498459456175</v>
      </c>
      <c r="Z12" s="69">
        <f t="shared" si="10"/>
        <v>3.937498459456175</v>
      </c>
    </row>
    <row r="13" spans="1:26" s="40" customFormat="1" ht="20.25" customHeight="1" x14ac:dyDescent="0.2">
      <c r="A13" s="35">
        <f t="shared" si="11"/>
        <v>8</v>
      </c>
      <c r="B13" s="24">
        <v>41409</v>
      </c>
      <c r="C13" s="25">
        <v>0.48888888888888887</v>
      </c>
      <c r="D13" s="26">
        <v>73</v>
      </c>
      <c r="E13" s="27">
        <v>58</v>
      </c>
      <c r="F13" s="36">
        <v>0</v>
      </c>
      <c r="G13" s="29">
        <v>32</v>
      </c>
      <c r="H13" s="37"/>
      <c r="I13" s="31">
        <v>1</v>
      </c>
      <c r="J13" s="31">
        <v>1</v>
      </c>
      <c r="K13" s="32">
        <v>0</v>
      </c>
      <c r="L13" s="27">
        <v>10.3</v>
      </c>
      <c r="M13" s="38"/>
      <c r="N13" s="39"/>
      <c r="O13" s="66">
        <f t="shared" si="3"/>
        <v>223.99999999674037</v>
      </c>
      <c r="P13" s="69">
        <f t="shared" si="7"/>
        <v>8.25</v>
      </c>
      <c r="Q13" s="66">
        <f t="shared" si="0"/>
        <v>0</v>
      </c>
      <c r="R13" s="67">
        <f t="shared" si="1"/>
        <v>4140</v>
      </c>
      <c r="S13" s="68">
        <f t="shared" si="4"/>
        <v>0</v>
      </c>
      <c r="T13" s="75">
        <f t="shared" si="2"/>
        <v>93.040601591685459</v>
      </c>
      <c r="U13" s="66">
        <f t="shared" si="8"/>
        <v>0</v>
      </c>
      <c r="V13" s="69">
        <f t="shared" si="12"/>
        <v>0</v>
      </c>
      <c r="W13" s="69">
        <f t="shared" si="9"/>
        <v>0.106</v>
      </c>
      <c r="X13" s="69">
        <v>0</v>
      </c>
      <c r="Y13" s="69">
        <f t="shared" si="6"/>
        <v>5.5461971543781354</v>
      </c>
      <c r="Z13" s="69">
        <f t="shared" si="10"/>
        <v>5.5461971543781354</v>
      </c>
    </row>
    <row r="14" spans="1:26" s="40" customFormat="1" ht="20.25" customHeight="1" x14ac:dyDescent="0.2">
      <c r="A14" s="35">
        <f t="shared" si="11"/>
        <v>9</v>
      </c>
      <c r="B14" s="24">
        <v>41410</v>
      </c>
      <c r="C14" s="25">
        <v>0.29166666666666669</v>
      </c>
      <c r="D14" s="26">
        <v>73</v>
      </c>
      <c r="E14" s="43">
        <v>73</v>
      </c>
      <c r="F14" s="36">
        <v>0</v>
      </c>
      <c r="G14" s="29">
        <v>0</v>
      </c>
      <c r="H14" s="37"/>
      <c r="I14" s="31">
        <v>1</v>
      </c>
      <c r="J14" s="31">
        <v>1</v>
      </c>
      <c r="K14" s="32">
        <v>0</v>
      </c>
      <c r="L14" s="27">
        <v>10.3</v>
      </c>
      <c r="M14" s="38"/>
      <c r="N14" s="39" t="s">
        <v>52</v>
      </c>
      <c r="O14" s="66">
        <f t="shared" si="3"/>
        <v>1155.9999999962747</v>
      </c>
      <c r="P14" s="69">
        <f t="shared" si="7"/>
        <v>27.516666666604578</v>
      </c>
      <c r="Q14" s="66">
        <f t="shared" si="0"/>
        <v>0</v>
      </c>
      <c r="R14" s="67">
        <f t="shared" si="1"/>
        <v>4140</v>
      </c>
      <c r="S14" s="68">
        <f t="shared" si="4"/>
        <v>0</v>
      </c>
      <c r="T14" s="75">
        <f t="shared" si="2"/>
        <v>93.040601591685459</v>
      </c>
      <c r="U14" s="66">
        <f t="shared" si="8"/>
        <v>0</v>
      </c>
      <c r="V14" s="69">
        <f t="shared" si="12"/>
        <v>0</v>
      </c>
      <c r="W14" s="69">
        <f t="shared" si="9"/>
        <v>0.106</v>
      </c>
      <c r="X14" s="69">
        <v>0</v>
      </c>
      <c r="Y14" s="69">
        <f t="shared" si="6"/>
        <v>6.9562472783725751</v>
      </c>
      <c r="Z14" s="69">
        <f t="shared" si="10"/>
        <v>6.9562472783725751</v>
      </c>
    </row>
    <row r="15" spans="1:26" s="40" customFormat="1" ht="20.25" customHeight="1" x14ac:dyDescent="0.2">
      <c r="A15" s="35">
        <f t="shared" si="11"/>
        <v>10</v>
      </c>
      <c r="B15" s="24">
        <v>41410</v>
      </c>
      <c r="C15" s="42">
        <v>0.3354166666666667</v>
      </c>
      <c r="D15" s="38">
        <v>73</v>
      </c>
      <c r="E15" s="45">
        <v>73</v>
      </c>
      <c r="F15" s="36">
        <v>0</v>
      </c>
      <c r="G15" s="29">
        <v>0</v>
      </c>
      <c r="H15" s="37"/>
      <c r="I15" s="31">
        <v>1</v>
      </c>
      <c r="J15" s="31">
        <v>1</v>
      </c>
      <c r="K15" s="32">
        <v>0</v>
      </c>
      <c r="L15" s="27">
        <v>10.3</v>
      </c>
      <c r="M15" s="38"/>
      <c r="N15" s="39" t="s">
        <v>51</v>
      </c>
      <c r="O15" s="66">
        <f t="shared" si="3"/>
        <v>63.000000006286427</v>
      </c>
      <c r="P15" s="69">
        <f t="shared" si="7"/>
        <v>28.566666666709352</v>
      </c>
      <c r="Q15" s="66">
        <f t="shared" si="0"/>
        <v>0</v>
      </c>
      <c r="R15" s="67">
        <f t="shared" si="1"/>
        <v>4140</v>
      </c>
      <c r="S15" s="68">
        <f t="shared" si="4"/>
        <v>0</v>
      </c>
      <c r="T15" s="75">
        <f>T16</f>
        <v>93.040601591685459</v>
      </c>
      <c r="U15" s="66">
        <f t="shared" si="8"/>
        <v>0</v>
      </c>
      <c r="V15" s="69">
        <f t="shared" si="12"/>
        <v>0</v>
      </c>
      <c r="W15" s="69">
        <f t="shared" si="9"/>
        <v>0.106</v>
      </c>
      <c r="X15" s="69">
        <v>0</v>
      </c>
      <c r="Y15" s="69">
        <f t="shared" si="6"/>
        <v>6.9562472783725751</v>
      </c>
      <c r="Z15" s="69">
        <f t="shared" si="10"/>
        <v>6.9562472783725751</v>
      </c>
    </row>
    <row r="16" spans="1:26" s="40" customFormat="1" ht="20.25" customHeight="1" x14ac:dyDescent="0.2">
      <c r="A16" s="35">
        <f t="shared" si="11"/>
        <v>11</v>
      </c>
      <c r="B16" s="24">
        <v>41410</v>
      </c>
      <c r="C16" s="44">
        <v>0.34027777777777773</v>
      </c>
      <c r="D16" s="41">
        <v>73</v>
      </c>
      <c r="E16" s="45">
        <v>53</v>
      </c>
      <c r="F16" s="36">
        <v>880</v>
      </c>
      <c r="G16" s="29">
        <v>98</v>
      </c>
      <c r="H16" s="37"/>
      <c r="I16" s="31">
        <v>1</v>
      </c>
      <c r="J16" s="31">
        <v>1</v>
      </c>
      <c r="K16" s="32">
        <v>0</v>
      </c>
      <c r="L16" s="27">
        <v>10.3</v>
      </c>
      <c r="M16" s="38" t="s">
        <v>61</v>
      </c>
      <c r="N16" s="39" t="s">
        <v>54</v>
      </c>
      <c r="O16" s="66">
        <f t="shared" si="3"/>
        <v>7.0000000018626451</v>
      </c>
      <c r="P16" s="69">
        <f t="shared" si="7"/>
        <v>28.683333333407063</v>
      </c>
      <c r="Q16" s="66">
        <f t="shared" si="0"/>
        <v>857.33370984821738</v>
      </c>
      <c r="R16" s="67">
        <f t="shared" si="1"/>
        <v>4140</v>
      </c>
      <c r="S16" s="68">
        <f t="shared" si="4"/>
        <v>0</v>
      </c>
      <c r="T16" s="75">
        <v>93.040601591685459</v>
      </c>
      <c r="U16" s="66">
        <f t="shared" si="8"/>
        <v>797.66844129109654</v>
      </c>
      <c r="V16" s="69">
        <f t="shared" si="12"/>
        <v>0.7976684412910966</v>
      </c>
      <c r="W16" s="69">
        <f t="shared" si="9"/>
        <v>0.20400000000000001</v>
      </c>
      <c r="X16" s="69">
        <v>0</v>
      </c>
      <c r="Y16" s="69">
        <f t="shared" si="6"/>
        <v>9.7692529345426191</v>
      </c>
      <c r="Z16" s="69">
        <f t="shared" si="10"/>
        <v>10.566921375833715</v>
      </c>
    </row>
    <row r="17" spans="1:26" s="40" customFormat="1" ht="20.25" customHeight="1" x14ac:dyDescent="0.2">
      <c r="A17" s="35">
        <f t="shared" si="11"/>
        <v>12</v>
      </c>
      <c r="B17" s="24">
        <v>41410</v>
      </c>
      <c r="C17" s="44">
        <v>0.35069444444444442</v>
      </c>
      <c r="D17" s="41">
        <v>57</v>
      </c>
      <c r="E17" s="45">
        <v>57</v>
      </c>
      <c r="F17" s="36">
        <v>0</v>
      </c>
      <c r="G17" s="29">
        <v>0</v>
      </c>
      <c r="H17" s="37"/>
      <c r="I17" s="31">
        <v>1</v>
      </c>
      <c r="J17" s="31">
        <v>1</v>
      </c>
      <c r="K17" s="32">
        <v>0</v>
      </c>
      <c r="L17" s="27">
        <v>10.3</v>
      </c>
      <c r="M17" s="38"/>
      <c r="N17" s="39" t="s">
        <v>53</v>
      </c>
      <c r="O17" s="66">
        <f t="shared" si="3"/>
        <v>14.99999999650754</v>
      </c>
      <c r="P17" s="69">
        <f t="shared" si="7"/>
        <v>28.933333333348855</v>
      </c>
      <c r="Q17" s="66">
        <f t="shared" si="0"/>
        <v>0</v>
      </c>
      <c r="R17" s="67">
        <f t="shared" si="1"/>
        <v>4140</v>
      </c>
      <c r="S17" s="68">
        <f t="shared" si="4"/>
        <v>0</v>
      </c>
      <c r="T17" s="75">
        <f t="shared" ref="T17:T30" si="13">IF(M17="", T16, "-")</f>
        <v>93.040601591685459</v>
      </c>
      <c r="U17" s="66">
        <f t="shared" si="8"/>
        <v>0</v>
      </c>
      <c r="V17" s="69">
        <f t="shared" si="12"/>
        <v>0.7976684412910966</v>
      </c>
      <c r="W17" s="69">
        <f t="shared" si="9"/>
        <v>0.20400000000000001</v>
      </c>
      <c r="X17" s="69">
        <v>0</v>
      </c>
      <c r="Y17" s="69">
        <f t="shared" si="6"/>
        <v>10.492901300064293</v>
      </c>
      <c r="Z17" s="69">
        <f t="shared" si="10"/>
        <v>11.290569741355389</v>
      </c>
    </row>
    <row r="18" spans="1:26" s="40" customFormat="1" ht="20.25" customHeight="1" x14ac:dyDescent="0.2">
      <c r="A18" s="35">
        <f t="shared" si="11"/>
        <v>13</v>
      </c>
      <c r="B18" s="24">
        <v>41410</v>
      </c>
      <c r="C18" s="44">
        <v>0.68333333333333324</v>
      </c>
      <c r="D18" s="41">
        <v>73</v>
      </c>
      <c r="E18" s="45">
        <v>59</v>
      </c>
      <c r="F18" s="36">
        <v>1580</v>
      </c>
      <c r="G18" s="29">
        <v>30</v>
      </c>
      <c r="H18" s="37"/>
      <c r="I18" s="31">
        <v>1</v>
      </c>
      <c r="J18" s="31">
        <v>1</v>
      </c>
      <c r="K18" s="32">
        <v>0</v>
      </c>
      <c r="L18" s="27">
        <v>10.3</v>
      </c>
      <c r="M18" s="38" t="s">
        <v>62</v>
      </c>
      <c r="N18" s="39" t="s">
        <v>56</v>
      </c>
      <c r="O18" s="66">
        <f t="shared" si="3"/>
        <v>479.00000000023283</v>
      </c>
      <c r="P18" s="69">
        <f t="shared" si="7"/>
        <v>36.916666666686069</v>
      </c>
      <c r="Q18" s="66">
        <f t="shared" si="0"/>
        <v>1539.3037063183906</v>
      </c>
      <c r="R18" s="67">
        <f t="shared" si="1"/>
        <v>4140</v>
      </c>
      <c r="S18" s="68">
        <f t="shared" si="4"/>
        <v>0</v>
      </c>
      <c r="T18" s="75">
        <v>97.13486042571995</v>
      </c>
      <c r="U18" s="66">
        <f t="shared" si="8"/>
        <v>1495.2005066603028</v>
      </c>
      <c r="V18" s="69">
        <f t="shared" si="12"/>
        <v>2.2928689479513995</v>
      </c>
      <c r="W18" s="69">
        <f t="shared" si="9"/>
        <v>0.23400000000000001</v>
      </c>
      <c r="X18" s="69">
        <v>0</v>
      </c>
      <c r="Y18" s="69">
        <f t="shared" si="6"/>
        <v>12.998916235666425</v>
      </c>
      <c r="Z18" s="69">
        <f t="shared" si="10"/>
        <v>15.291785183617824</v>
      </c>
    </row>
    <row r="19" spans="1:26" s="40" customFormat="1" ht="20.25" customHeight="1" x14ac:dyDescent="0.2">
      <c r="A19" s="35">
        <f t="shared" si="11"/>
        <v>14</v>
      </c>
      <c r="B19" s="24">
        <v>41410</v>
      </c>
      <c r="C19" s="44">
        <v>0.95277777777777783</v>
      </c>
      <c r="D19" s="41">
        <v>71</v>
      </c>
      <c r="E19" s="45">
        <v>64</v>
      </c>
      <c r="F19" s="36">
        <v>1550</v>
      </c>
      <c r="G19" s="29">
        <v>9</v>
      </c>
      <c r="H19" s="37"/>
      <c r="I19" s="31">
        <v>1</v>
      </c>
      <c r="J19" s="31">
        <v>1</v>
      </c>
      <c r="K19" s="32">
        <v>0</v>
      </c>
      <c r="L19" s="27">
        <v>10.3</v>
      </c>
      <c r="M19" s="38" t="s">
        <v>63</v>
      </c>
      <c r="N19" s="39" t="s">
        <v>55</v>
      </c>
      <c r="O19" s="66">
        <f t="shared" si="3"/>
        <v>387.9999999969732</v>
      </c>
      <c r="P19" s="69">
        <f t="shared" si="7"/>
        <v>43.383333333302289</v>
      </c>
      <c r="Q19" s="66">
        <f t="shared" si="0"/>
        <v>1510.0764207553827</v>
      </c>
      <c r="R19" s="67">
        <f t="shared" si="1"/>
        <v>4140</v>
      </c>
      <c r="S19" s="68">
        <f t="shared" si="4"/>
        <v>0</v>
      </c>
      <c r="T19" s="75">
        <v>97.366962559655704</v>
      </c>
      <c r="U19" s="66">
        <f t="shared" si="8"/>
        <v>1470.3155432190824</v>
      </c>
      <c r="V19" s="69">
        <f t="shared" si="12"/>
        <v>3.7631844911704819</v>
      </c>
      <c r="W19" s="69">
        <f t="shared" si="9"/>
        <v>0.24300000000000002</v>
      </c>
      <c r="X19" s="69">
        <v>0</v>
      </c>
      <c r="Y19" s="69">
        <f t="shared" si="6"/>
        <v>14.658724046114871</v>
      </c>
      <c r="Z19" s="69">
        <f t="shared" si="10"/>
        <v>18.421908537285354</v>
      </c>
    </row>
    <row r="20" spans="1:26" s="40" customFormat="1" ht="20.25" customHeight="1" x14ac:dyDescent="0.2">
      <c r="A20" s="35">
        <f t="shared" si="11"/>
        <v>15</v>
      </c>
      <c r="B20" s="24">
        <v>41411</v>
      </c>
      <c r="C20" s="44">
        <v>0.30416666666666664</v>
      </c>
      <c r="D20" s="41">
        <v>68</v>
      </c>
      <c r="E20" s="45">
        <v>63</v>
      </c>
      <c r="F20" s="36">
        <v>1340</v>
      </c>
      <c r="G20" s="29">
        <v>9</v>
      </c>
      <c r="H20" s="37"/>
      <c r="I20" s="31">
        <v>1</v>
      </c>
      <c r="J20" s="31">
        <v>1</v>
      </c>
      <c r="K20" s="32">
        <v>0</v>
      </c>
      <c r="L20" s="27">
        <v>10.3</v>
      </c>
      <c r="M20" s="38" t="s">
        <v>64</v>
      </c>
      <c r="N20" s="39" t="s">
        <v>57</v>
      </c>
      <c r="O20" s="66">
        <f t="shared" si="3"/>
        <v>506.00000000442378</v>
      </c>
      <c r="P20" s="69">
        <f t="shared" si="7"/>
        <v>51.816666666709352</v>
      </c>
      <c r="Q20" s="66">
        <f t="shared" si="0"/>
        <v>1305.4854218143312</v>
      </c>
      <c r="R20" s="67">
        <f t="shared" si="1"/>
        <v>4140</v>
      </c>
      <c r="S20" s="68">
        <f t="shared" si="4"/>
        <v>0</v>
      </c>
      <c r="T20" s="75">
        <v>97.193463503966001</v>
      </c>
      <c r="U20" s="66">
        <f t="shared" si="8"/>
        <v>1268.8464970007087</v>
      </c>
      <c r="V20" s="69">
        <f t="shared" si="12"/>
        <v>5.0320309881711909</v>
      </c>
      <c r="W20" s="69">
        <f t="shared" si="9"/>
        <v>0.252</v>
      </c>
      <c r="X20" s="69">
        <v>0</v>
      </c>
      <c r="Y20" s="69">
        <f t="shared" si="6"/>
        <v>14.941097171285508</v>
      </c>
      <c r="Z20" s="69">
        <f t="shared" si="10"/>
        <v>19.973128159456699</v>
      </c>
    </row>
    <row r="21" spans="1:26" s="40" customFormat="1" ht="20.25" customHeight="1" x14ac:dyDescent="0.2">
      <c r="A21" s="35">
        <f t="shared" si="11"/>
        <v>16</v>
      </c>
      <c r="B21" s="24">
        <v>41411</v>
      </c>
      <c r="C21" s="44">
        <v>0.73819444444444438</v>
      </c>
      <c r="D21" s="41">
        <v>64</v>
      </c>
      <c r="E21" s="45">
        <v>57</v>
      </c>
      <c r="F21" s="36">
        <v>1560</v>
      </c>
      <c r="G21" s="29">
        <v>9</v>
      </c>
      <c r="H21" s="37"/>
      <c r="I21" s="31">
        <v>1</v>
      </c>
      <c r="J21" s="31">
        <v>1</v>
      </c>
      <c r="K21" s="32">
        <v>0</v>
      </c>
      <c r="L21" s="27">
        <v>10.3</v>
      </c>
      <c r="M21" s="38" t="s">
        <v>65</v>
      </c>
      <c r="N21" s="39" t="s">
        <v>58</v>
      </c>
      <c r="O21" s="66">
        <f t="shared" ref="O21:O31" si="14">((B21 +C21) - (B20 + C20)) * 24 * 60</f>
        <v>624.99999999417923</v>
      </c>
      <c r="P21" s="69">
        <f t="shared" ref="P21:P31" si="15">P20+O21/60</f>
        <v>62.233333333279006</v>
      </c>
      <c r="Q21" s="66">
        <f t="shared" ref="Q21:Q31" si="16">F21*$F$2/1000*273/(273+L21)</f>
        <v>1519.8188492763857</v>
      </c>
      <c r="R21" s="67">
        <f t="shared" ref="R21:R31" si="17">$N$2-K21</f>
        <v>4140</v>
      </c>
      <c r="S21" s="68">
        <f t="shared" ref="S21:S31" si="18">IF(I21=J21,0,R21*(J21-I21))*273/(273+L21)</f>
        <v>0</v>
      </c>
      <c r="T21" s="75">
        <v>98.057536099319051</v>
      </c>
      <c r="U21" s="66">
        <f t="shared" ref="U21:U31" si="19">(S21+Q21)*T21/100</f>
        <v>1490.2969167734473</v>
      </c>
      <c r="V21" s="69">
        <f t="shared" ref="V21:V31" si="20">V20+U21/1000</f>
        <v>6.5223279049446381</v>
      </c>
      <c r="W21" s="69">
        <f t="shared" ref="W21:W31" si="21">W20+(G21+K21)/1000</f>
        <v>0.26100000000000001</v>
      </c>
      <c r="X21" s="69">
        <v>0</v>
      </c>
      <c r="Y21" s="69">
        <f t="shared" ref="Y21:Y31" si="22">(W21-X21)*(E21+1)*1000/$F$2*273/(273+L21)*T21/100</f>
        <v>14.148630156234725</v>
      </c>
      <c r="Z21" s="69">
        <f t="shared" ref="Z21:Z31" si="23">V21+Y21</f>
        <v>20.670958061179363</v>
      </c>
    </row>
    <row r="22" spans="1:26" ht="20.25" customHeight="1" x14ac:dyDescent="0.2">
      <c r="A22" s="35">
        <f t="shared" si="11"/>
        <v>17</v>
      </c>
      <c r="B22" s="24">
        <v>41411</v>
      </c>
      <c r="C22" s="44">
        <v>0.79722222222222217</v>
      </c>
      <c r="D22" s="41">
        <v>57</v>
      </c>
      <c r="E22" s="45">
        <v>51</v>
      </c>
      <c r="F22" s="36">
        <v>1550</v>
      </c>
      <c r="G22" s="29">
        <v>7</v>
      </c>
      <c r="H22" s="37"/>
      <c r="I22" s="31">
        <v>1</v>
      </c>
      <c r="J22" s="31">
        <v>1</v>
      </c>
      <c r="K22" s="32">
        <v>0</v>
      </c>
      <c r="L22" s="27">
        <v>10.3</v>
      </c>
      <c r="M22" s="38" t="s">
        <v>66</v>
      </c>
      <c r="N22" s="39"/>
      <c r="O22" s="66">
        <f t="shared" si="14"/>
        <v>85.000000004656613</v>
      </c>
      <c r="P22" s="69">
        <f t="shared" si="15"/>
        <v>63.650000000023283</v>
      </c>
      <c r="Q22" s="66">
        <f t="shared" si="16"/>
        <v>1510.0764207553827</v>
      </c>
      <c r="R22" s="67">
        <f t="shared" si="17"/>
        <v>4140</v>
      </c>
      <c r="S22" s="68">
        <f t="shared" si="18"/>
        <v>0</v>
      </c>
      <c r="T22" s="75">
        <v>98.274326452337149</v>
      </c>
      <c r="U22" s="66">
        <f t="shared" si="19"/>
        <v>1484.0174314129131</v>
      </c>
      <c r="V22" s="69">
        <f t="shared" si="20"/>
        <v>8.0063453363575512</v>
      </c>
      <c r="W22" s="69">
        <f t="shared" si="21"/>
        <v>0.26800000000000002</v>
      </c>
      <c r="X22" s="69">
        <v>0</v>
      </c>
      <c r="Y22" s="69">
        <f t="shared" si="22"/>
        <v>13.053985638005145</v>
      </c>
      <c r="Z22" s="69">
        <f t="shared" si="23"/>
        <v>21.060330974362696</v>
      </c>
    </row>
    <row r="23" spans="1:26" ht="20.25" customHeight="1" x14ac:dyDescent="0.2">
      <c r="A23" s="35">
        <f t="shared" si="11"/>
        <v>18</v>
      </c>
      <c r="B23" s="24">
        <v>41411</v>
      </c>
      <c r="C23" s="44">
        <v>0.85069444444444453</v>
      </c>
      <c r="D23" s="41">
        <v>51</v>
      </c>
      <c r="E23" s="45">
        <v>39</v>
      </c>
      <c r="F23" s="36">
        <v>1580</v>
      </c>
      <c r="G23" s="29">
        <v>57</v>
      </c>
      <c r="H23" s="37"/>
      <c r="I23" s="31">
        <v>1</v>
      </c>
      <c r="J23" s="31">
        <v>1</v>
      </c>
      <c r="K23" s="32">
        <v>0</v>
      </c>
      <c r="L23" s="27">
        <v>10.3</v>
      </c>
      <c r="M23" s="38" t="s">
        <v>67</v>
      </c>
      <c r="N23" s="39"/>
      <c r="O23" s="66">
        <f t="shared" si="14"/>
        <v>76.999999999534339</v>
      </c>
      <c r="P23" s="69">
        <f t="shared" si="15"/>
        <v>64.933333333348855</v>
      </c>
      <c r="Q23" s="66">
        <f t="shared" si="16"/>
        <v>1539.3037063183906</v>
      </c>
      <c r="R23" s="67">
        <f t="shared" si="17"/>
        <v>4140</v>
      </c>
      <c r="S23" s="68">
        <f t="shared" si="18"/>
        <v>0</v>
      </c>
      <c r="T23" s="75">
        <v>98.16091302107219</v>
      </c>
      <c r="U23" s="66">
        <f t="shared" si="19"/>
        <v>1510.9945722893358</v>
      </c>
      <c r="V23" s="69">
        <f t="shared" si="20"/>
        <v>9.5173399086468873</v>
      </c>
      <c r="W23" s="69">
        <f t="shared" si="21"/>
        <v>0.32500000000000001</v>
      </c>
      <c r="X23" s="69">
        <v>0</v>
      </c>
      <c r="Y23" s="69">
        <f t="shared" si="22"/>
        <v>12.163172288441167</v>
      </c>
      <c r="Z23" s="69">
        <f t="shared" si="23"/>
        <v>21.680512197088056</v>
      </c>
    </row>
    <row r="24" spans="1:26" ht="20.25" customHeight="1" x14ac:dyDescent="0.2">
      <c r="A24" s="35">
        <f t="shared" si="11"/>
        <v>19</v>
      </c>
      <c r="B24" s="24">
        <v>41411</v>
      </c>
      <c r="C24" s="44">
        <v>0.89236111111111116</v>
      </c>
      <c r="D24" s="41">
        <v>40</v>
      </c>
      <c r="E24" s="45">
        <v>33</v>
      </c>
      <c r="F24" s="36">
        <v>1660</v>
      </c>
      <c r="G24" s="29">
        <v>0</v>
      </c>
      <c r="H24" s="37"/>
      <c r="I24" s="31">
        <v>1</v>
      </c>
      <c r="J24" s="31">
        <v>1</v>
      </c>
      <c r="K24" s="32">
        <v>0</v>
      </c>
      <c r="L24" s="27">
        <v>10.3</v>
      </c>
      <c r="M24" s="38"/>
      <c r="N24" s="39"/>
      <c r="O24" s="66">
        <f t="shared" si="14"/>
        <v>59.99999999650754</v>
      </c>
      <c r="P24" s="69">
        <f t="shared" si="15"/>
        <v>65.933333333290648</v>
      </c>
      <c r="Q24" s="66">
        <f t="shared" si="16"/>
        <v>1617.2431344864101</v>
      </c>
      <c r="R24" s="67">
        <f t="shared" si="17"/>
        <v>4140</v>
      </c>
      <c r="S24" s="68">
        <f t="shared" si="18"/>
        <v>0</v>
      </c>
      <c r="T24" s="75">
        <f t="shared" si="13"/>
        <v>98.16091302107219</v>
      </c>
      <c r="U24" s="66">
        <f t="shared" si="19"/>
        <v>1587.5006265824666</v>
      </c>
      <c r="V24" s="69">
        <f t="shared" si="20"/>
        <v>11.104840535229354</v>
      </c>
      <c r="W24" s="69">
        <f t="shared" si="21"/>
        <v>0.32500000000000001</v>
      </c>
      <c r="X24" s="69">
        <v>0</v>
      </c>
      <c r="Y24" s="69">
        <f t="shared" si="22"/>
        <v>10.338696445174993</v>
      </c>
      <c r="Z24" s="69">
        <f t="shared" si="23"/>
        <v>21.443536980404346</v>
      </c>
    </row>
    <row r="25" spans="1:26" ht="20.25" customHeight="1" x14ac:dyDescent="0.2">
      <c r="A25" s="35">
        <f t="shared" si="11"/>
        <v>20</v>
      </c>
      <c r="B25" s="24">
        <v>41411</v>
      </c>
      <c r="C25" s="44">
        <v>0.93819444444444444</v>
      </c>
      <c r="D25" s="41">
        <v>33</v>
      </c>
      <c r="E25" s="45">
        <v>25</v>
      </c>
      <c r="F25" s="36">
        <v>1520</v>
      </c>
      <c r="G25" s="29">
        <v>45</v>
      </c>
      <c r="H25" s="37"/>
      <c r="I25" s="31">
        <v>1</v>
      </c>
      <c r="J25" s="31">
        <v>1</v>
      </c>
      <c r="K25" s="32">
        <v>0</v>
      </c>
      <c r="L25" s="27">
        <v>10.3</v>
      </c>
      <c r="M25" s="38" t="s">
        <v>68</v>
      </c>
      <c r="N25" s="39"/>
      <c r="O25" s="66">
        <f t="shared" si="14"/>
        <v>66.000000005587935</v>
      </c>
      <c r="P25" s="69">
        <f t="shared" si="15"/>
        <v>67.03333333338378</v>
      </c>
      <c r="Q25" s="66">
        <f t="shared" si="16"/>
        <v>1480.8491351923756</v>
      </c>
      <c r="R25" s="67">
        <f t="shared" si="17"/>
        <v>4140</v>
      </c>
      <c r="S25" s="68">
        <f t="shared" si="18"/>
        <v>0</v>
      </c>
      <c r="T25" s="75">
        <v>98.340859134706079</v>
      </c>
      <c r="U25" s="66">
        <f t="shared" si="19"/>
        <v>1456.2797620370472</v>
      </c>
      <c r="V25" s="69">
        <f t="shared" si="20"/>
        <v>12.561120297266401</v>
      </c>
      <c r="W25" s="69">
        <f t="shared" si="21"/>
        <v>0.37</v>
      </c>
      <c r="X25" s="69">
        <v>0</v>
      </c>
      <c r="Y25" s="69">
        <f t="shared" si="22"/>
        <v>9.017247437073701</v>
      </c>
      <c r="Z25" s="69">
        <f t="shared" si="23"/>
        <v>21.578367734340102</v>
      </c>
    </row>
    <row r="26" spans="1:26" ht="20.25" customHeight="1" x14ac:dyDescent="0.2">
      <c r="A26" s="35">
        <f t="shared" si="11"/>
        <v>21</v>
      </c>
      <c r="B26" s="24">
        <v>41411</v>
      </c>
      <c r="C26" s="44">
        <v>0.95833333333333337</v>
      </c>
      <c r="D26" s="41">
        <v>25</v>
      </c>
      <c r="E26" s="45">
        <v>22</v>
      </c>
      <c r="F26" s="36">
        <v>1520</v>
      </c>
      <c r="G26" s="29">
        <v>5</v>
      </c>
      <c r="H26" s="37"/>
      <c r="I26" s="31">
        <v>1</v>
      </c>
      <c r="J26" s="31">
        <v>1</v>
      </c>
      <c r="K26" s="32">
        <v>0</v>
      </c>
      <c r="L26" s="27">
        <v>10.3</v>
      </c>
      <c r="M26" s="38"/>
      <c r="N26" s="39"/>
      <c r="O26" s="66">
        <f t="shared" si="14"/>
        <v>29.000000000232831</v>
      </c>
      <c r="P26" s="69">
        <f t="shared" si="15"/>
        <v>67.516666666720994</v>
      </c>
      <c r="Q26" s="66">
        <f t="shared" si="16"/>
        <v>1480.8491351923756</v>
      </c>
      <c r="R26" s="67">
        <f t="shared" si="17"/>
        <v>4140</v>
      </c>
      <c r="S26" s="68">
        <f t="shared" si="18"/>
        <v>0</v>
      </c>
      <c r="T26" s="75">
        <f t="shared" si="13"/>
        <v>98.340859134706079</v>
      </c>
      <c r="U26" s="66">
        <f t="shared" si="19"/>
        <v>1456.2797620370472</v>
      </c>
      <c r="V26" s="69">
        <f t="shared" si="20"/>
        <v>14.017400059303448</v>
      </c>
      <c r="W26" s="69">
        <f t="shared" si="21"/>
        <v>0.375</v>
      </c>
      <c r="X26" s="69">
        <v>0</v>
      </c>
      <c r="Y26" s="69">
        <f t="shared" si="22"/>
        <v>8.0845903476882182</v>
      </c>
      <c r="Z26" s="69">
        <f t="shared" si="23"/>
        <v>22.101990406991668</v>
      </c>
    </row>
    <row r="27" spans="1:26" ht="20.25" customHeight="1" x14ac:dyDescent="0.2">
      <c r="A27" s="35">
        <f t="shared" si="11"/>
        <v>22</v>
      </c>
      <c r="B27" s="24">
        <v>41411</v>
      </c>
      <c r="C27" s="44">
        <v>0.98819444444444438</v>
      </c>
      <c r="D27" s="41">
        <v>22</v>
      </c>
      <c r="E27" s="45">
        <v>19</v>
      </c>
      <c r="F27" s="36">
        <v>1340</v>
      </c>
      <c r="G27" s="29">
        <v>2</v>
      </c>
      <c r="H27" s="37"/>
      <c r="I27" s="31">
        <v>1</v>
      </c>
      <c r="J27" s="31">
        <v>1</v>
      </c>
      <c r="K27" s="32">
        <v>0</v>
      </c>
      <c r="L27" s="27">
        <v>10.3</v>
      </c>
      <c r="M27" s="38"/>
      <c r="N27" s="39"/>
      <c r="O27" s="66">
        <f t="shared" si="14"/>
        <v>42.999999993480742</v>
      </c>
      <c r="P27" s="69">
        <f t="shared" si="15"/>
        <v>68.233333333279006</v>
      </c>
      <c r="Q27" s="66">
        <f t="shared" si="16"/>
        <v>1305.4854218143312</v>
      </c>
      <c r="R27" s="67">
        <f t="shared" si="17"/>
        <v>4140</v>
      </c>
      <c r="S27" s="68">
        <f t="shared" si="18"/>
        <v>0</v>
      </c>
      <c r="T27" s="75">
        <f t="shared" si="13"/>
        <v>98.340859134706079</v>
      </c>
      <c r="U27" s="66">
        <f t="shared" si="19"/>
        <v>1283.8255796905548</v>
      </c>
      <c r="V27" s="69">
        <f t="shared" si="20"/>
        <v>15.301225638994003</v>
      </c>
      <c r="W27" s="69">
        <f t="shared" si="21"/>
        <v>0.377</v>
      </c>
      <c r="X27" s="69">
        <v>0</v>
      </c>
      <c r="Y27" s="69">
        <f t="shared" si="22"/>
        <v>7.0675723155442505</v>
      </c>
      <c r="Z27" s="69">
        <f t="shared" si="23"/>
        <v>22.368797954538252</v>
      </c>
    </row>
    <row r="28" spans="1:26" ht="20.25" customHeight="1" x14ac:dyDescent="0.2">
      <c r="A28" s="35">
        <f t="shared" si="11"/>
        <v>23</v>
      </c>
      <c r="B28" s="24">
        <v>41412</v>
      </c>
      <c r="C28" s="44">
        <v>2.2916666666666669E-2</v>
      </c>
      <c r="D28" s="41">
        <v>19</v>
      </c>
      <c r="E28" s="45">
        <v>15</v>
      </c>
      <c r="F28" s="36">
        <v>1840</v>
      </c>
      <c r="G28" s="29">
        <v>3</v>
      </c>
      <c r="H28" s="37"/>
      <c r="I28" s="31">
        <v>1</v>
      </c>
      <c r="J28" s="31">
        <v>1</v>
      </c>
      <c r="K28" s="32">
        <v>0</v>
      </c>
      <c r="L28" s="27">
        <v>10.3</v>
      </c>
      <c r="M28" s="38" t="s">
        <v>69</v>
      </c>
      <c r="N28" s="39"/>
      <c r="O28" s="66">
        <f t="shared" si="14"/>
        <v>50.000000005820766</v>
      </c>
      <c r="P28" s="69">
        <f t="shared" si="15"/>
        <v>69.066666666709352</v>
      </c>
      <c r="Q28" s="66">
        <f t="shared" si="16"/>
        <v>1792.6068478644547</v>
      </c>
      <c r="R28" s="67">
        <f t="shared" si="17"/>
        <v>4140</v>
      </c>
      <c r="S28" s="68">
        <f t="shared" si="18"/>
        <v>0</v>
      </c>
      <c r="T28" s="75">
        <v>98.35258204880563</v>
      </c>
      <c r="U28" s="66">
        <f t="shared" si="19"/>
        <v>1763.0751208583961</v>
      </c>
      <c r="V28" s="69">
        <f t="shared" si="20"/>
        <v>17.064300759852401</v>
      </c>
      <c r="W28" s="69">
        <f t="shared" si="21"/>
        <v>0.38</v>
      </c>
      <c r="X28" s="69">
        <v>0</v>
      </c>
      <c r="Y28" s="69">
        <f t="shared" si="22"/>
        <v>5.6997297216635205</v>
      </c>
      <c r="Z28" s="69">
        <f t="shared" si="23"/>
        <v>22.76403048151592</v>
      </c>
    </row>
    <row r="29" spans="1:26" ht="20.25" customHeight="1" x14ac:dyDescent="0.2">
      <c r="A29" s="35">
        <f t="shared" si="11"/>
        <v>24</v>
      </c>
      <c r="B29" s="24">
        <v>41412</v>
      </c>
      <c r="C29" s="44">
        <v>5.9027777777777783E-2</v>
      </c>
      <c r="D29" s="41">
        <v>15</v>
      </c>
      <c r="E29" s="45">
        <v>10</v>
      </c>
      <c r="F29" s="36">
        <v>1680</v>
      </c>
      <c r="G29" s="29">
        <v>19</v>
      </c>
      <c r="H29" s="37"/>
      <c r="I29" s="31">
        <v>1</v>
      </c>
      <c r="J29" s="31">
        <v>1</v>
      </c>
      <c r="K29" s="32">
        <v>0</v>
      </c>
      <c r="L29" s="27">
        <v>10.3</v>
      </c>
      <c r="M29" s="38"/>
      <c r="N29" s="39"/>
      <c r="O29" s="66">
        <f t="shared" si="14"/>
        <v>52.000000001862645</v>
      </c>
      <c r="P29" s="69">
        <f t="shared" si="15"/>
        <v>69.933333333407063</v>
      </c>
      <c r="Q29" s="66">
        <f t="shared" si="16"/>
        <v>1636.727991528415</v>
      </c>
      <c r="R29" s="67">
        <f t="shared" si="17"/>
        <v>4140</v>
      </c>
      <c r="S29" s="68">
        <f t="shared" si="18"/>
        <v>0</v>
      </c>
      <c r="T29" s="75">
        <f t="shared" si="13"/>
        <v>98.35258204880563</v>
      </c>
      <c r="U29" s="66">
        <f t="shared" si="19"/>
        <v>1609.7642407837527</v>
      </c>
      <c r="V29" s="69">
        <f t="shared" si="20"/>
        <v>18.674065000636155</v>
      </c>
      <c r="W29" s="69">
        <f t="shared" si="21"/>
        <v>0.39900000000000002</v>
      </c>
      <c r="X29" s="69">
        <v>0</v>
      </c>
      <c r="Y29" s="69">
        <f t="shared" si="22"/>
        <v>4.1144923928258539</v>
      </c>
      <c r="Z29" s="69">
        <f t="shared" si="23"/>
        <v>22.788557393462007</v>
      </c>
    </row>
    <row r="30" spans="1:26" ht="20.25" customHeight="1" x14ac:dyDescent="0.2">
      <c r="A30" s="35">
        <f t="shared" si="11"/>
        <v>25</v>
      </c>
      <c r="B30" s="24">
        <v>41412</v>
      </c>
      <c r="C30" s="44">
        <v>8.9583333333333334E-2</v>
      </c>
      <c r="D30" s="41">
        <v>11</v>
      </c>
      <c r="E30" s="45">
        <v>7</v>
      </c>
      <c r="F30" s="36">
        <v>1620</v>
      </c>
      <c r="G30" s="29">
        <v>4</v>
      </c>
      <c r="H30" s="37"/>
      <c r="I30" s="31">
        <v>1</v>
      </c>
      <c r="J30" s="31">
        <v>1</v>
      </c>
      <c r="K30" s="32">
        <v>0</v>
      </c>
      <c r="L30" s="27">
        <v>10.3</v>
      </c>
      <c r="M30" s="38"/>
      <c r="N30" s="39"/>
      <c r="O30" s="66">
        <f t="shared" si="14"/>
        <v>43.999999996740371</v>
      </c>
      <c r="P30" s="69">
        <f t="shared" si="15"/>
        <v>70.666666666686069</v>
      </c>
      <c r="Q30" s="66">
        <f t="shared" si="16"/>
        <v>1578.2734204024002</v>
      </c>
      <c r="R30" s="67">
        <f t="shared" si="17"/>
        <v>4140</v>
      </c>
      <c r="S30" s="68">
        <f t="shared" si="18"/>
        <v>0</v>
      </c>
      <c r="T30" s="75">
        <f t="shared" si="13"/>
        <v>98.35258204880563</v>
      </c>
      <c r="U30" s="66">
        <f t="shared" si="19"/>
        <v>1552.2726607557615</v>
      </c>
      <c r="V30" s="69">
        <f t="shared" si="20"/>
        <v>20.226337661391916</v>
      </c>
      <c r="W30" s="69">
        <f t="shared" si="21"/>
        <v>0.40300000000000002</v>
      </c>
      <c r="X30" s="69">
        <v>0</v>
      </c>
      <c r="Y30" s="69">
        <f t="shared" si="22"/>
        <v>3.0223566813557876</v>
      </c>
      <c r="Z30" s="69">
        <f t="shared" si="23"/>
        <v>23.248694342747704</v>
      </c>
    </row>
    <row r="31" spans="1:26" ht="20.25" customHeight="1" x14ac:dyDescent="0.2">
      <c r="A31" s="35">
        <f t="shared" si="11"/>
        <v>26</v>
      </c>
      <c r="B31" s="24">
        <v>41412</v>
      </c>
      <c r="C31" s="44">
        <v>9.7916666666666666E-2</v>
      </c>
      <c r="D31" s="41">
        <v>7</v>
      </c>
      <c r="E31" s="45">
        <v>4</v>
      </c>
      <c r="F31" s="36">
        <v>1360</v>
      </c>
      <c r="G31" s="29">
        <v>7</v>
      </c>
      <c r="H31" s="37"/>
      <c r="I31" s="31">
        <v>1</v>
      </c>
      <c r="J31" s="31">
        <v>1</v>
      </c>
      <c r="K31" s="32">
        <v>0</v>
      </c>
      <c r="L31" s="27">
        <v>10.3</v>
      </c>
      <c r="M31" s="38" t="s">
        <v>70</v>
      </c>
      <c r="N31" s="39" t="s">
        <v>59</v>
      </c>
      <c r="O31" s="66">
        <f t="shared" si="14"/>
        <v>11.999999997206032</v>
      </c>
      <c r="P31" s="69">
        <f t="shared" si="15"/>
        <v>70.866666666639503</v>
      </c>
      <c r="Q31" s="66">
        <f t="shared" si="16"/>
        <v>1324.9702788563361</v>
      </c>
      <c r="R31" s="67">
        <f t="shared" si="17"/>
        <v>4140</v>
      </c>
      <c r="S31" s="68">
        <f t="shared" si="18"/>
        <v>0</v>
      </c>
      <c r="T31" s="75">
        <v>98.520654892248984</v>
      </c>
      <c r="U31" s="66">
        <f t="shared" si="19"/>
        <v>1305.3693958569199</v>
      </c>
      <c r="V31" s="69">
        <f t="shared" si="20"/>
        <v>21.531707057248838</v>
      </c>
      <c r="W31" s="69">
        <f t="shared" si="21"/>
        <v>0.41000000000000003</v>
      </c>
      <c r="X31" s="69">
        <v>0</v>
      </c>
      <c r="Y31" s="69">
        <f t="shared" si="22"/>
        <v>1.9250679696109176</v>
      </c>
      <c r="Z31" s="69">
        <f t="shared" si="23"/>
        <v>23.456775026859756</v>
      </c>
    </row>
    <row r="32" spans="1:26" ht="20.25" customHeight="1" x14ac:dyDescent="0.2">
      <c r="A32" s="35">
        <f t="shared" si="11"/>
        <v>27</v>
      </c>
      <c r="B32" s="24">
        <v>41412</v>
      </c>
      <c r="C32" s="44">
        <v>0.12361111111111112</v>
      </c>
      <c r="D32" s="41">
        <v>4</v>
      </c>
      <c r="E32" s="45">
        <v>0</v>
      </c>
      <c r="F32" s="36">
        <v>1600</v>
      </c>
      <c r="G32" s="29">
        <v>61</v>
      </c>
      <c r="H32" s="37"/>
      <c r="I32" s="31">
        <v>1</v>
      </c>
      <c r="J32" s="31">
        <v>1</v>
      </c>
      <c r="K32" s="32">
        <v>0</v>
      </c>
      <c r="L32" s="27">
        <v>10.3</v>
      </c>
      <c r="M32" s="38"/>
      <c r="N32" s="39" t="s">
        <v>60</v>
      </c>
      <c r="O32" s="66">
        <f t="shared" ref="O32" si="24">((B32 +C32) - (B31 + C31)) * 24 * 60</f>
        <v>37.000000005355105</v>
      </c>
      <c r="P32" s="69">
        <f t="shared" ref="P32" si="25">P31+O32/60</f>
        <v>71.483333333395422</v>
      </c>
      <c r="Q32" s="66">
        <f t="shared" ref="Q32" si="26">F32*$F$2/1000*273/(273+L32)</f>
        <v>1558.7885633603953</v>
      </c>
      <c r="R32" s="67">
        <f t="shared" ref="R32" si="27">$N$2-K32</f>
        <v>4140</v>
      </c>
      <c r="S32" s="68">
        <f t="shared" ref="S32" si="28">IF(I32=J32,0,R32*(J32-I32))*273/(273+L32)</f>
        <v>0</v>
      </c>
      <c r="T32" s="75">
        <f t="shared" ref="T32" si="29">IF(M32="", T31, "-")</f>
        <v>98.520654892248984</v>
      </c>
      <c r="U32" s="66">
        <f t="shared" ref="U32" si="30">(S32+Q32)*T32/100</f>
        <v>1535.7287010081409</v>
      </c>
      <c r="V32" s="69">
        <f t="shared" ref="V32" si="31">V31+U32/1000</f>
        <v>23.067435758256977</v>
      </c>
      <c r="W32" s="69">
        <f t="shared" ref="W32" si="32">W31+(G32+K32)/1000</f>
        <v>0.47100000000000003</v>
      </c>
      <c r="X32" s="69">
        <v>2.5999999999999999E-2</v>
      </c>
      <c r="Y32" s="69">
        <f t="shared" ref="Y32" si="33">(W32-X32)*(E32+1)*1000/$F$2*273/(273+L32)*T32/100</f>
        <v>0.41788060803749189</v>
      </c>
      <c r="Z32" s="69">
        <f t="shared" ref="Z32" si="34">V32+Y32</f>
        <v>23.48531636629447</v>
      </c>
    </row>
    <row r="33" ht="20.25" customHeight="1" x14ac:dyDescent="0.2"/>
    <row r="34" ht="20.25" customHeight="1" x14ac:dyDescent="0.2"/>
    <row r="35" ht="20.25" customHeight="1" x14ac:dyDescent="0.2"/>
    <row r="36" ht="20.25" customHeight="1" x14ac:dyDescent="0.2"/>
    <row r="37" ht="20.25" customHeight="1" x14ac:dyDescent="0.2"/>
    <row r="38" ht="20.25" customHeight="1" x14ac:dyDescent="0.2"/>
    <row r="39" ht="20.25" customHeight="1" x14ac:dyDescent="0.2"/>
    <row r="40" ht="20.25" customHeight="1" x14ac:dyDescent="0.2"/>
    <row r="41" ht="20.25" customHeight="1" x14ac:dyDescent="0.2"/>
    <row r="42" ht="20.25" customHeight="1" x14ac:dyDescent="0.2"/>
    <row r="43" ht="20.25" customHeight="1" x14ac:dyDescent="0.2"/>
    <row r="44" ht="20.25" customHeight="1" x14ac:dyDescent="0.2"/>
    <row r="45" ht="20.25" customHeight="1" x14ac:dyDescent="0.2"/>
    <row r="46" ht="20.25" customHeight="1" x14ac:dyDescent="0.2"/>
    <row r="47" ht="20.25" customHeight="1" x14ac:dyDescent="0.2"/>
    <row r="48" ht="20.25" customHeight="1" x14ac:dyDescent="0.2"/>
    <row r="49" ht="20.25" customHeight="1" x14ac:dyDescent="0.2"/>
    <row r="50" ht="20.25" customHeight="1" x14ac:dyDescent="0.2"/>
    <row r="51" ht="20.25" customHeight="1" x14ac:dyDescent="0.2"/>
    <row r="52" ht="20.25" customHeight="1" x14ac:dyDescent="0.2"/>
    <row r="53" ht="20.25" customHeight="1" x14ac:dyDescent="0.2"/>
    <row r="54" ht="20.25" customHeight="1" x14ac:dyDescent="0.2"/>
    <row r="55" ht="20.25" customHeight="1" x14ac:dyDescent="0.2"/>
    <row r="56" ht="20.25" customHeight="1" x14ac:dyDescent="0.2"/>
    <row r="57" ht="20.25" customHeight="1" x14ac:dyDescent="0.2"/>
    <row r="58" ht="20.25" customHeight="1" x14ac:dyDescent="0.2"/>
    <row r="59" ht="20.25" customHeight="1" x14ac:dyDescent="0.2"/>
    <row r="60" ht="20.25" customHeight="1" x14ac:dyDescent="0.2"/>
    <row r="61" ht="20.25" customHeight="1" x14ac:dyDescent="0.2"/>
    <row r="62" ht="20.25" customHeight="1" x14ac:dyDescent="0.2"/>
    <row r="63" ht="20.25" customHeight="1" x14ac:dyDescent="0.2"/>
    <row r="64" ht="20.25" customHeight="1" x14ac:dyDescent="0.2"/>
    <row r="65" ht="20.25" customHeight="1" x14ac:dyDescent="0.2"/>
    <row r="66" ht="20.25" customHeight="1" x14ac:dyDescent="0.2"/>
    <row r="67" ht="20.25" customHeight="1" x14ac:dyDescent="0.2"/>
    <row r="68" ht="20.25" customHeight="1" x14ac:dyDescent="0.2"/>
    <row r="69" ht="20.25" customHeight="1" x14ac:dyDescent="0.2"/>
    <row r="70" ht="20.25" customHeight="1" x14ac:dyDescent="0.2"/>
    <row r="71" ht="20.25" customHeight="1" x14ac:dyDescent="0.2"/>
    <row r="72" ht="20.25" customHeight="1" x14ac:dyDescent="0.2"/>
    <row r="73" ht="20.25" customHeight="1" x14ac:dyDescent="0.2"/>
    <row r="74" ht="20.25" customHeight="1" x14ac:dyDescent="0.2"/>
    <row r="75" ht="20.25" customHeight="1" x14ac:dyDescent="0.2"/>
    <row r="76" ht="20.25" customHeight="1" x14ac:dyDescent="0.2"/>
    <row r="77" ht="20.25" customHeight="1" x14ac:dyDescent="0.2"/>
    <row r="78" ht="20.25" customHeight="1" x14ac:dyDescent="0.2"/>
    <row r="79" ht="20.25" customHeight="1" x14ac:dyDescent="0.2"/>
    <row r="80" ht="20.25" customHeight="1" x14ac:dyDescent="0.2"/>
    <row r="81" ht="20.25" customHeight="1" x14ac:dyDescent="0.2"/>
    <row r="82" ht="20.25" customHeight="1" x14ac:dyDescent="0.2"/>
    <row r="83" ht="20.25" customHeight="1" x14ac:dyDescent="0.2"/>
    <row r="84" ht="20.25" customHeight="1" x14ac:dyDescent="0.2"/>
    <row r="85" ht="20.25" customHeight="1" x14ac:dyDescent="0.2"/>
    <row r="86" ht="20.25" customHeight="1" x14ac:dyDescent="0.2"/>
    <row r="87" ht="20.25" customHeight="1" x14ac:dyDescent="0.2"/>
    <row r="88" ht="20.25" customHeight="1" x14ac:dyDescent="0.2"/>
    <row r="89" ht="20.25" customHeight="1" x14ac:dyDescent="0.2"/>
    <row r="90" ht="20.25" customHeight="1" x14ac:dyDescent="0.2"/>
    <row r="91" ht="20.25" customHeight="1" x14ac:dyDescent="0.2"/>
    <row r="92" ht="20.25" customHeight="1" x14ac:dyDescent="0.2"/>
    <row r="93" ht="20.25" customHeight="1" x14ac:dyDescent="0.2"/>
    <row r="94" ht="20.25" customHeight="1" x14ac:dyDescent="0.2"/>
    <row r="95" ht="20.25" customHeight="1" x14ac:dyDescent="0.2"/>
    <row r="96" ht="20.25" customHeight="1" x14ac:dyDescent="0.2"/>
    <row r="97" ht="20.25" customHeight="1" x14ac:dyDescent="0.2"/>
    <row r="98" ht="20.25" customHeight="1" x14ac:dyDescent="0.2"/>
    <row r="99" ht="20.25" customHeight="1" x14ac:dyDescent="0.2"/>
    <row r="100" ht="20.25" customHeight="1" x14ac:dyDescent="0.2"/>
    <row r="101" ht="20.25" customHeight="1" x14ac:dyDescent="0.2"/>
    <row r="102" ht="20.25" customHeight="1" x14ac:dyDescent="0.2"/>
    <row r="103" ht="20.25" customHeight="1" x14ac:dyDescent="0.2"/>
    <row r="104" ht="20.25" customHeight="1" x14ac:dyDescent="0.2"/>
    <row r="105" ht="20.25" customHeight="1" x14ac:dyDescent="0.2"/>
    <row r="106" ht="20.25" customHeight="1" x14ac:dyDescent="0.2"/>
    <row r="107" ht="20.25" customHeight="1" x14ac:dyDescent="0.2"/>
    <row r="108" ht="20.25" customHeight="1" x14ac:dyDescent="0.2"/>
    <row r="109" ht="20.25" customHeight="1" x14ac:dyDescent="0.2"/>
    <row r="110" ht="20.25" customHeight="1" x14ac:dyDescent="0.2"/>
    <row r="111" ht="20.25" customHeight="1" x14ac:dyDescent="0.2"/>
    <row r="112" ht="20.25" customHeight="1" x14ac:dyDescent="0.2"/>
    <row r="113" ht="20.25" customHeight="1" x14ac:dyDescent="0.2"/>
    <row r="114" ht="20.25" customHeight="1" x14ac:dyDescent="0.2"/>
    <row r="115" ht="20.25" customHeight="1" x14ac:dyDescent="0.2"/>
    <row r="116" ht="20.25" customHeight="1" x14ac:dyDescent="0.2"/>
    <row r="117" ht="20.25" customHeight="1" x14ac:dyDescent="0.2"/>
  </sheetData>
  <mergeCells count="22">
    <mergeCell ref="B4:B5"/>
    <mergeCell ref="F4:G4"/>
    <mergeCell ref="D4:E4"/>
    <mergeCell ref="A3:N3"/>
    <mergeCell ref="A4:A5"/>
    <mergeCell ref="C4:C5"/>
    <mergeCell ref="I4:L4"/>
    <mergeCell ref="M4:M5"/>
    <mergeCell ref="N4:N5"/>
    <mergeCell ref="A2:E2"/>
    <mergeCell ref="F2:H2"/>
    <mergeCell ref="I2:K2"/>
    <mergeCell ref="L2:M2"/>
    <mergeCell ref="A1:E1"/>
    <mergeCell ref="F1:H1"/>
    <mergeCell ref="I1:K1"/>
    <mergeCell ref="L1:N1"/>
    <mergeCell ref="W4:Y4"/>
    <mergeCell ref="U4:V4"/>
    <mergeCell ref="O4:P4"/>
    <mergeCell ref="Q3:S3"/>
    <mergeCell ref="R4:S4"/>
  </mergeCells>
  <printOptions horizontalCentered="1" verticalCentered="1"/>
  <pageMargins left="0.59055118110236227" right="0.59055118110236227" top="0.59055118110236227" bottom="0.59055118110236227" header="0.31496062992125984" footer="0.31496062992125984"/>
  <pageSetup paperSize="9" scale="7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0"/>
  <sheetViews>
    <sheetView zoomScaleNormal="100" workbookViewId="0">
      <selection activeCell="E37" sqref="E37"/>
    </sheetView>
  </sheetViews>
  <sheetFormatPr defaultColWidth="10.75" defaultRowHeight="12.75" x14ac:dyDescent="0.2"/>
  <cols>
    <col min="1" max="1" width="7.25" style="12" customWidth="1"/>
    <col min="2" max="3" width="8.375" style="10" customWidth="1"/>
    <col min="4" max="4" width="11.625" style="10" customWidth="1"/>
    <col min="5" max="5" width="8.25" style="10" customWidth="1"/>
    <col min="6" max="6" width="7.5" style="10" customWidth="1"/>
    <col min="7" max="7" width="13.125" style="10" customWidth="1"/>
    <col min="8" max="8" width="9" style="10" customWidth="1"/>
    <col min="9" max="9" width="11.5" style="10" customWidth="1"/>
    <col min="10" max="16384" width="10.75" style="10"/>
  </cols>
  <sheetData>
    <row r="1" spans="1:21" ht="23.25" customHeight="1" x14ac:dyDescent="0.2">
      <c r="A1" s="116" t="str">
        <f>CONCATENATE(M1," Depressurization Table")</f>
        <v>UT-GOM2-1-H002-4CS-1 Depressurization Table</v>
      </c>
      <c r="B1" s="116"/>
      <c r="C1" s="116"/>
      <c r="D1" s="116"/>
      <c r="E1" s="116"/>
      <c r="F1" s="116"/>
      <c r="G1" s="116"/>
      <c r="H1" s="116"/>
      <c r="I1" s="116"/>
      <c r="M1" s="22" t="s">
        <v>48</v>
      </c>
      <c r="N1" s="11"/>
      <c r="O1" s="11"/>
      <c r="P1" s="11"/>
      <c r="Q1" s="11"/>
      <c r="R1" s="11"/>
      <c r="S1" s="11"/>
      <c r="T1" s="11"/>
      <c r="U1" s="11"/>
    </row>
    <row r="2" spans="1:21" ht="20.25" customHeight="1" x14ac:dyDescent="0.2">
      <c r="M2" s="10" t="s">
        <v>27</v>
      </c>
    </row>
    <row r="3" spans="1:21" s="16" customFormat="1" ht="63" customHeight="1" x14ac:dyDescent="0.2">
      <c r="A3" s="13" t="s">
        <v>17</v>
      </c>
      <c r="B3" s="13" t="s">
        <v>18</v>
      </c>
      <c r="C3" s="13" t="s">
        <v>19</v>
      </c>
      <c r="D3" s="14" t="s">
        <v>20</v>
      </c>
      <c r="E3" s="14" t="s">
        <v>21</v>
      </c>
      <c r="F3" s="14" t="s">
        <v>22</v>
      </c>
      <c r="G3" s="14" t="s">
        <v>23</v>
      </c>
      <c r="H3" s="15" t="s">
        <v>24</v>
      </c>
      <c r="I3" s="13" t="s">
        <v>25</v>
      </c>
    </row>
    <row r="4" spans="1:21" x14ac:dyDescent="0.2">
      <c r="A4" s="17">
        <f t="shared" ref="A4:A30" ca="1" si="0">INDIRECT(CONCATENATE("'",$M$1,"'!A",ROW()+2))</f>
        <v>1</v>
      </c>
      <c r="B4" s="18">
        <f t="shared" ref="B4:B30" ca="1" si="1">INDIRECT(CONCATENATE("'",$M$1,"'!D",ROW()+2))/10</f>
        <v>20.5</v>
      </c>
      <c r="C4" s="18">
        <f t="shared" ref="C4:C30" ca="1" si="2">INDIRECT(CONCATENATE("'",$M$1,"'!E",ROW()+2))/10</f>
        <v>20.5</v>
      </c>
      <c r="D4" s="19">
        <f ca="1">(INDIRECT(CONCATENATE("'",$M$1,"'!R",ROW()+2))+INDIRECT(CONCATENATE("'",$M$1,"'!T",ROW()+2)))/1000</f>
        <v>4.2330406015916848</v>
      </c>
      <c r="E4" s="18">
        <f ca="1">INDIRECT(CONCATENATE("'",$M$1,"'!t",ROW()+2))</f>
        <v>93.040601591685459</v>
      </c>
      <c r="F4" s="73" t="str">
        <f ca="1">IF(INDIRECT(CONCATENATE("'",$M$1,"'!m",ROW()+2))="","",INDIRECT(CONCATENATE("'",$M$1,"'!m",ROW()+2)))</f>
        <v/>
      </c>
      <c r="G4" s="19">
        <f t="shared" ref="G4:G30" ca="1" si="3">INDIRECT(CONCATENATE("'",$M$1,"'!x",ROW()+2))</f>
        <v>0</v>
      </c>
      <c r="H4" s="20">
        <f t="shared" ref="H4:H7" ca="1" si="4">D4/MAX(D4:D26)</f>
        <v>4.3454035533119093E-2</v>
      </c>
      <c r="I4" s="19">
        <f ca="1">INDIRECT(CONCATENATE("'",$M$1,"'!y",ROW()+2))</f>
        <v>0</v>
      </c>
      <c r="J4" s="21"/>
    </row>
    <row r="5" spans="1:21" x14ac:dyDescent="0.2">
      <c r="A5" s="17">
        <f t="shared" ca="1" si="0"/>
        <v>2</v>
      </c>
      <c r="B5" s="18">
        <f t="shared" ca="1" si="1"/>
        <v>20.5</v>
      </c>
      <c r="C5" s="18">
        <f t="shared" ca="1" si="2"/>
        <v>12.6</v>
      </c>
      <c r="D5" s="19">
        <f t="shared" ref="D5:D30" ca="1" si="5">D4+(INDIRECT(CONCATENATE("'",$M$1,"'!R",ROW()+2))+INDIRECT(CONCATENATE("'",$M$1,"'!T",ROW()+2)))/1000</f>
        <v>8.4660812031833697</v>
      </c>
      <c r="E5" s="18">
        <f t="shared" ref="E5:E30" ca="1" si="6">INDIRECT(CONCATENATE("'",$M$1,"'!t",ROW()+2))</f>
        <v>93.040601591685459</v>
      </c>
      <c r="F5" s="73" t="str">
        <f t="shared" ref="F5:F30" ca="1" si="7">IF(INDIRECT(CONCATENATE("'",$M$1,"'!m",ROW()+2))="","",INDIRECT(CONCATENATE("'",$M$1,"'!m",ROW()+2)))</f>
        <v/>
      </c>
      <c r="G5" s="19">
        <f t="shared" ca="1" si="3"/>
        <v>0</v>
      </c>
      <c r="H5" s="20">
        <f t="shared" ca="1" si="4"/>
        <v>8.3284482706602492E-2</v>
      </c>
      <c r="I5" s="19">
        <f t="shared" ref="I5:I30" ca="1" si="8">INDIRECT(CONCATENATE("'",$M$1,"'!y",ROW()+2))</f>
        <v>0.56313322562042134</v>
      </c>
      <c r="J5" s="21"/>
    </row>
    <row r="6" spans="1:21" x14ac:dyDescent="0.2">
      <c r="A6" s="17">
        <f t="shared" ca="1" si="0"/>
        <v>3</v>
      </c>
      <c r="B6" s="18">
        <f t="shared" ca="1" si="1"/>
        <v>12.6</v>
      </c>
      <c r="C6" s="18">
        <f t="shared" ca="1" si="2"/>
        <v>10.3</v>
      </c>
      <c r="D6" s="19">
        <f t="shared" ca="1" si="5"/>
        <v>12.699121804775054</v>
      </c>
      <c r="E6" s="18">
        <f t="shared" ca="1" si="6"/>
        <v>93.040601591685459</v>
      </c>
      <c r="F6" s="73" t="str">
        <f t="shared" ca="1" si="7"/>
        <v/>
      </c>
      <c r="G6" s="19">
        <f t="shared" ca="1" si="3"/>
        <v>0</v>
      </c>
      <c r="H6" s="20">
        <f t="shared" ca="1" si="4"/>
        <v>0.11992645094018324</v>
      </c>
      <c r="I6" s="19">
        <f t="shared" ca="1" si="8"/>
        <v>0.8300672428042748</v>
      </c>
      <c r="J6" s="21"/>
    </row>
    <row r="7" spans="1:21" x14ac:dyDescent="0.2">
      <c r="A7" s="17">
        <f t="shared" ca="1" si="0"/>
        <v>4</v>
      </c>
      <c r="B7" s="18">
        <f t="shared" ca="1" si="1"/>
        <v>10.3</v>
      </c>
      <c r="C7" s="18">
        <f t="shared" ca="1" si="2"/>
        <v>5.9</v>
      </c>
      <c r="D7" s="19">
        <f t="shared" ca="1" si="5"/>
        <v>16.932162406366739</v>
      </c>
      <c r="E7" s="18">
        <f t="shared" ca="1" si="6"/>
        <v>93.040601591685459</v>
      </c>
      <c r="F7" s="73" t="str">
        <f t="shared" ca="1" si="7"/>
        <v/>
      </c>
      <c r="G7" s="19">
        <f t="shared" ca="1" si="3"/>
        <v>0</v>
      </c>
      <c r="H7" s="20">
        <f t="shared" ca="1" si="4"/>
        <v>0.1537478338314382</v>
      </c>
      <c r="I7" s="19">
        <f t="shared" ca="1" si="8"/>
        <v>1.1706076501085925</v>
      </c>
      <c r="J7" s="21"/>
    </row>
    <row r="8" spans="1:21" x14ac:dyDescent="0.2">
      <c r="A8" s="17">
        <f t="shared" ca="1" si="0"/>
        <v>5</v>
      </c>
      <c r="B8" s="18">
        <f t="shared" ca="1" si="1"/>
        <v>7.9</v>
      </c>
      <c r="C8" s="18">
        <f t="shared" ca="1" si="2"/>
        <v>6.4</v>
      </c>
      <c r="D8" s="19">
        <f t="shared" ca="1" si="5"/>
        <v>21.165203007958425</v>
      </c>
      <c r="E8" s="18">
        <f t="shared" ca="1" si="6"/>
        <v>93.040601591685459</v>
      </c>
      <c r="F8" s="73" t="str">
        <f t="shared" ca="1" si="7"/>
        <v/>
      </c>
      <c r="G8" s="19">
        <f t="shared" ca="1" si="3"/>
        <v>0</v>
      </c>
      <c r="H8" s="20">
        <f ca="1">D8/MAX(D8:D29)</f>
        <v>0.19218479228929775</v>
      </c>
      <c r="I8" s="19">
        <f t="shared" ca="1" si="8"/>
        <v>1.9022374314264627</v>
      </c>
      <c r="J8" s="21"/>
    </row>
    <row r="9" spans="1:21" x14ac:dyDescent="0.2">
      <c r="A9" s="17">
        <f t="shared" ca="1" si="0"/>
        <v>6</v>
      </c>
      <c r="B9" s="18">
        <f t="shared" ca="1" si="1"/>
        <v>7.6</v>
      </c>
      <c r="C9" s="18">
        <f t="shared" ca="1" si="2"/>
        <v>6</v>
      </c>
      <c r="D9" s="19">
        <f t="shared" ca="1" si="5"/>
        <v>25.398243609550111</v>
      </c>
      <c r="E9" s="18">
        <f t="shared" ca="1" si="6"/>
        <v>93.040601591685459</v>
      </c>
      <c r="F9" s="73" t="str">
        <f t="shared" ca="1" si="7"/>
        <v/>
      </c>
      <c r="G9" s="19">
        <f t="shared" ca="1" si="3"/>
        <v>0</v>
      </c>
      <c r="H9" s="20">
        <f ca="1">D9/MAX(D9:D29)</f>
        <v>0.23062175074715732</v>
      </c>
      <c r="I9" s="19">
        <f t="shared" ca="1" si="8"/>
        <v>2.542524343076769</v>
      </c>
      <c r="J9" s="21"/>
    </row>
    <row r="10" spans="1:21" x14ac:dyDescent="0.2">
      <c r="A10" s="17">
        <f t="shared" ca="1" si="0"/>
        <v>7</v>
      </c>
      <c r="B10" s="18">
        <f t="shared" ca="1" si="1"/>
        <v>7.4</v>
      </c>
      <c r="C10" s="18">
        <f t="shared" ca="1" si="2"/>
        <v>5.9</v>
      </c>
      <c r="D10" s="19">
        <f t="shared" ca="1" si="5"/>
        <v>29.631284211141796</v>
      </c>
      <c r="E10" s="18">
        <f t="shared" ca="1" si="6"/>
        <v>93.040601591685459</v>
      </c>
      <c r="F10" s="73" t="str">
        <f t="shared" ca="1" si="7"/>
        <v/>
      </c>
      <c r="G10" s="19">
        <f t="shared" ca="1" si="3"/>
        <v>0</v>
      </c>
      <c r="H10" s="20">
        <f ca="1">D10/MAX(D10:D29)</f>
        <v>0.2690587092050169</v>
      </c>
      <c r="I10" s="19">
        <f t="shared" ca="1" si="8"/>
        <v>3.937498459456175</v>
      </c>
      <c r="J10" s="21"/>
    </row>
    <row r="11" spans="1:21" x14ac:dyDescent="0.2">
      <c r="A11" s="17">
        <f t="shared" ca="1" si="0"/>
        <v>8</v>
      </c>
      <c r="B11" s="18">
        <f t="shared" ca="1" si="1"/>
        <v>7.3</v>
      </c>
      <c r="C11" s="18">
        <f t="shared" ca="1" si="2"/>
        <v>5.8</v>
      </c>
      <c r="D11" s="19">
        <f t="shared" ca="1" si="5"/>
        <v>33.864324812733479</v>
      </c>
      <c r="E11" s="18">
        <f t="shared" ca="1" si="6"/>
        <v>93.040601591685459</v>
      </c>
      <c r="F11" s="73" t="str">
        <f t="shared" ca="1" si="7"/>
        <v/>
      </c>
      <c r="G11" s="19">
        <f t="shared" ca="1" si="3"/>
        <v>0</v>
      </c>
      <c r="H11" s="20">
        <f t="shared" ref="H11:H12" ca="1" si="9">D11/MAX(D11:D29)</f>
        <v>0.30749566766287639</v>
      </c>
      <c r="I11" s="19">
        <f t="shared" ca="1" si="8"/>
        <v>5.5461971543781354</v>
      </c>
      <c r="J11" s="21"/>
    </row>
    <row r="12" spans="1:21" x14ac:dyDescent="0.2">
      <c r="A12" s="17">
        <f t="shared" ca="1" si="0"/>
        <v>9</v>
      </c>
      <c r="B12" s="18">
        <f t="shared" ca="1" si="1"/>
        <v>7.3</v>
      </c>
      <c r="C12" s="18">
        <f t="shared" ca="1" si="2"/>
        <v>7.3</v>
      </c>
      <c r="D12" s="19">
        <f t="shared" ca="1" si="5"/>
        <v>38.097365414325161</v>
      </c>
      <c r="E12" s="18">
        <f t="shared" ca="1" si="6"/>
        <v>93.040601591685459</v>
      </c>
      <c r="F12" s="73" t="str">
        <f t="shared" ca="1" si="7"/>
        <v/>
      </c>
      <c r="G12" s="19">
        <f t="shared" ca="1" si="3"/>
        <v>0</v>
      </c>
      <c r="H12" s="20">
        <f t="shared" ca="1" si="9"/>
        <v>0.33311222949159314</v>
      </c>
      <c r="I12" s="19">
        <f t="shared" ca="1" si="8"/>
        <v>6.9562472783725751</v>
      </c>
      <c r="J12" s="21"/>
    </row>
    <row r="13" spans="1:21" x14ac:dyDescent="0.2">
      <c r="A13" s="17">
        <f t="shared" ca="1" si="0"/>
        <v>10</v>
      </c>
      <c r="B13" s="18">
        <f t="shared" ca="1" si="1"/>
        <v>7.3</v>
      </c>
      <c r="C13" s="18">
        <f t="shared" ca="1" si="2"/>
        <v>7.3</v>
      </c>
      <c r="D13" s="19">
        <f t="shared" ca="1" si="5"/>
        <v>42.330406015916843</v>
      </c>
      <c r="E13" s="18">
        <f t="shared" ca="1" si="6"/>
        <v>93.040601591685459</v>
      </c>
      <c r="F13" s="73" t="str">
        <f t="shared" ca="1" si="7"/>
        <v/>
      </c>
      <c r="G13" s="19">
        <f t="shared" ca="1" si="3"/>
        <v>0</v>
      </c>
      <c r="H13" s="20">
        <f t="shared" ref="H13:H30" ca="1" si="10">D13/MAX(D13:D30)</f>
        <v>0.37012469943510351</v>
      </c>
      <c r="I13" s="19">
        <f t="shared" ca="1" si="8"/>
        <v>6.9562472783725751</v>
      </c>
      <c r="J13" s="21"/>
    </row>
    <row r="14" spans="1:21" x14ac:dyDescent="0.2">
      <c r="A14" s="17">
        <f t="shared" ca="1" si="0"/>
        <v>11</v>
      </c>
      <c r="B14" s="18">
        <f t="shared" ca="1" si="1"/>
        <v>7.3</v>
      </c>
      <c r="C14" s="18">
        <f t="shared" ca="1" si="2"/>
        <v>5.3</v>
      </c>
      <c r="D14" s="19">
        <f t="shared" ca="1" si="5"/>
        <v>46.563446617508525</v>
      </c>
      <c r="E14" s="18">
        <f t="shared" ca="1" si="6"/>
        <v>93.040601591685459</v>
      </c>
      <c r="F14" s="73" t="str">
        <f t="shared" ca="1" si="7"/>
        <v>1G</v>
      </c>
      <c r="G14" s="19">
        <f t="shared" ca="1" si="3"/>
        <v>0</v>
      </c>
      <c r="H14" s="20">
        <f t="shared" ca="1" si="10"/>
        <v>0.40713716937861383</v>
      </c>
      <c r="I14" s="19">
        <f t="shared" ca="1" si="8"/>
        <v>9.7692529345426191</v>
      </c>
      <c r="J14" s="21"/>
    </row>
    <row r="15" spans="1:21" x14ac:dyDescent="0.2">
      <c r="A15" s="17">
        <f t="shared" ca="1" si="0"/>
        <v>12</v>
      </c>
      <c r="B15" s="18">
        <f t="shared" ca="1" si="1"/>
        <v>5.7</v>
      </c>
      <c r="C15" s="18">
        <f t="shared" ca="1" si="2"/>
        <v>5.7</v>
      </c>
      <c r="D15" s="19">
        <f t="shared" ca="1" si="5"/>
        <v>50.796487219100207</v>
      </c>
      <c r="E15" s="18">
        <f t="shared" ca="1" si="6"/>
        <v>93.040601591685459</v>
      </c>
      <c r="F15" s="73" t="str">
        <f t="shared" ca="1" si="7"/>
        <v/>
      </c>
      <c r="G15" s="19">
        <f t="shared" ca="1" si="3"/>
        <v>0</v>
      </c>
      <c r="H15" s="20">
        <f t="shared" ca="1" si="10"/>
        <v>0.44414963932212415</v>
      </c>
      <c r="I15" s="19">
        <f t="shared" ca="1" si="8"/>
        <v>10.492901300064293</v>
      </c>
      <c r="J15" s="21"/>
    </row>
    <row r="16" spans="1:21" x14ac:dyDescent="0.2">
      <c r="A16" s="17">
        <f t="shared" ca="1" si="0"/>
        <v>13</v>
      </c>
      <c r="B16" s="18">
        <f t="shared" ca="1" si="1"/>
        <v>7.3</v>
      </c>
      <c r="C16" s="18">
        <f t="shared" ca="1" si="2"/>
        <v>5.9</v>
      </c>
      <c r="D16" s="19">
        <f t="shared" ca="1" si="5"/>
        <v>55.033622079525927</v>
      </c>
      <c r="E16" s="18">
        <f t="shared" ca="1" si="6"/>
        <v>97.13486042571995</v>
      </c>
      <c r="F16" s="73" t="str">
        <f t="shared" ca="1" si="7"/>
        <v>2G</v>
      </c>
      <c r="G16" s="19">
        <f t="shared" ca="1" si="3"/>
        <v>0</v>
      </c>
      <c r="H16" s="20">
        <f t="shared" ca="1" si="10"/>
        <v>0.48119790826836051</v>
      </c>
      <c r="I16" s="19">
        <f t="shared" ca="1" si="8"/>
        <v>12.998916235666425</v>
      </c>
      <c r="J16" s="21"/>
    </row>
    <row r="17" spans="1:10" x14ac:dyDescent="0.2">
      <c r="A17" s="17">
        <f t="shared" ca="1" si="0"/>
        <v>14</v>
      </c>
      <c r="B17" s="18">
        <f t="shared" ca="1" si="1"/>
        <v>7.1</v>
      </c>
      <c r="C17" s="18">
        <f t="shared" ca="1" si="2"/>
        <v>6.4</v>
      </c>
      <c r="D17" s="19">
        <f t="shared" ca="1" si="5"/>
        <v>59.270989042085581</v>
      </c>
      <c r="E17" s="18">
        <f t="shared" ca="1" si="6"/>
        <v>97.366962559655704</v>
      </c>
      <c r="F17" s="73" t="str">
        <f t="shared" ca="1" si="7"/>
        <v>3G</v>
      </c>
      <c r="G17" s="19">
        <f t="shared" ca="1" si="3"/>
        <v>0</v>
      </c>
      <c r="H17" s="20">
        <f t="shared" ca="1" si="10"/>
        <v>0.51824820664782578</v>
      </c>
      <c r="I17" s="19">
        <f t="shared" ca="1" si="8"/>
        <v>14.658724046114871</v>
      </c>
      <c r="J17" s="21"/>
    </row>
    <row r="18" spans="1:10" x14ac:dyDescent="0.2">
      <c r="A18" s="17">
        <f t="shared" ca="1" si="0"/>
        <v>15</v>
      </c>
      <c r="B18" s="18">
        <f t="shared" ca="1" si="1"/>
        <v>6.8</v>
      </c>
      <c r="C18" s="18">
        <f t="shared" ca="1" si="2"/>
        <v>6.3</v>
      </c>
      <c r="D18" s="19">
        <f t="shared" ca="1" si="5"/>
        <v>63.508182505589545</v>
      </c>
      <c r="E18" s="18">
        <f t="shared" ca="1" si="6"/>
        <v>97.193463503966001</v>
      </c>
      <c r="F18" s="73" t="str">
        <f t="shared" ca="1" si="7"/>
        <v>4G</v>
      </c>
      <c r="G18" s="19">
        <f t="shared" ca="1" si="3"/>
        <v>0</v>
      </c>
      <c r="H18" s="20">
        <f t="shared" ca="1" si="10"/>
        <v>0.55529698800225191</v>
      </c>
      <c r="I18" s="19">
        <f t="shared" ca="1" si="8"/>
        <v>14.941097171285508</v>
      </c>
      <c r="J18" s="21"/>
    </row>
    <row r="19" spans="1:10" x14ac:dyDescent="0.2">
      <c r="A19" s="17">
        <f t="shared" ca="1" si="0"/>
        <v>16</v>
      </c>
      <c r="B19" s="18">
        <f t="shared" ca="1" si="1"/>
        <v>6.4</v>
      </c>
      <c r="C19" s="18">
        <f t="shared" ca="1" si="2"/>
        <v>5.7</v>
      </c>
      <c r="D19" s="19">
        <f t="shared" ca="1" si="5"/>
        <v>67.746240041688864</v>
      </c>
      <c r="E19" s="18">
        <f t="shared" ca="1" si="6"/>
        <v>98.057536099319051</v>
      </c>
      <c r="F19" s="73" t="str">
        <f t="shared" ca="1" si="7"/>
        <v>5G</v>
      </c>
      <c r="G19" s="19">
        <f t="shared" ca="1" si="3"/>
        <v>0</v>
      </c>
      <c r="H19" s="20">
        <f t="shared" ca="1" si="10"/>
        <v>0.59235332455493261</v>
      </c>
      <c r="I19" s="19">
        <f t="shared" ca="1" si="8"/>
        <v>14.148630156234725</v>
      </c>
      <c r="J19" s="21"/>
    </row>
    <row r="20" spans="1:10" x14ac:dyDescent="0.2">
      <c r="A20" s="17">
        <f t="shared" ca="1" si="0"/>
        <v>17</v>
      </c>
      <c r="B20" s="18">
        <f t="shared" ca="1" si="1"/>
        <v>5.7</v>
      </c>
      <c r="C20" s="18">
        <f t="shared" ca="1" si="2"/>
        <v>5.0999999999999996</v>
      </c>
      <c r="D20" s="19">
        <f t="shared" ca="1" si="5"/>
        <v>71.984514368141205</v>
      </c>
      <c r="E20" s="18">
        <f t="shared" ca="1" si="6"/>
        <v>98.274326452337149</v>
      </c>
      <c r="F20" s="73" t="str">
        <f t="shared" ca="1" si="7"/>
        <v>6G</v>
      </c>
      <c r="G20" s="19">
        <f t="shared" ca="1" si="3"/>
        <v>0</v>
      </c>
      <c r="H20" s="20">
        <f t="shared" ca="1" si="10"/>
        <v>0.62941155665910475</v>
      </c>
      <c r="I20" s="19">
        <f t="shared" ca="1" si="8"/>
        <v>13.053985638005145</v>
      </c>
    </row>
    <row r="21" spans="1:10" x14ac:dyDescent="0.2">
      <c r="A21" s="17">
        <f t="shared" ca="1" si="0"/>
        <v>18</v>
      </c>
      <c r="B21" s="18">
        <f t="shared" ca="1" si="1"/>
        <v>5.0999999999999996</v>
      </c>
      <c r="C21" s="18">
        <f t="shared" ca="1" si="2"/>
        <v>3.9</v>
      </c>
      <c r="D21" s="19">
        <f t="shared" ca="1" si="5"/>
        <v>76.222675281162282</v>
      </c>
      <c r="E21" s="18">
        <f t="shared" ca="1" si="6"/>
        <v>98.16091302107219</v>
      </c>
      <c r="F21" s="73" t="str">
        <f t="shared" ca="1" si="7"/>
        <v>7G</v>
      </c>
      <c r="G21" s="19">
        <f t="shared" ca="1" si="3"/>
        <v>0</v>
      </c>
      <c r="H21" s="20">
        <f t="shared" ca="1" si="10"/>
        <v>0.66646879710937812</v>
      </c>
      <c r="I21" s="19">
        <f t="shared" ca="1" si="8"/>
        <v>12.163172288441167</v>
      </c>
    </row>
    <row r="22" spans="1:10" x14ac:dyDescent="0.2">
      <c r="A22" s="17">
        <f t="shared" ca="1" si="0"/>
        <v>19</v>
      </c>
      <c r="B22" s="18">
        <f t="shared" ca="1" si="1"/>
        <v>4</v>
      </c>
      <c r="C22" s="18">
        <f t="shared" ca="1" si="2"/>
        <v>3.3</v>
      </c>
      <c r="D22" s="19">
        <f t="shared" ca="1" si="5"/>
        <v>80.460836194183358</v>
      </c>
      <c r="E22" s="18">
        <f t="shared" ca="1" si="6"/>
        <v>98.16091302107219</v>
      </c>
      <c r="F22" s="73" t="str">
        <f t="shared" ca="1" si="7"/>
        <v/>
      </c>
      <c r="G22" s="19">
        <f t="shared" ca="1" si="3"/>
        <v>0</v>
      </c>
      <c r="H22" s="20">
        <f t="shared" ca="1" si="10"/>
        <v>0.70352603755965148</v>
      </c>
      <c r="I22" s="19">
        <f t="shared" ca="1" si="8"/>
        <v>10.338696445174993</v>
      </c>
    </row>
    <row r="23" spans="1:10" x14ac:dyDescent="0.2">
      <c r="A23" s="17">
        <f t="shared" ca="1" si="0"/>
        <v>20</v>
      </c>
      <c r="B23" s="18">
        <f t="shared" ca="1" si="1"/>
        <v>3.3</v>
      </c>
      <c r="C23" s="18">
        <f t="shared" ca="1" si="2"/>
        <v>2.5</v>
      </c>
      <c r="D23" s="19">
        <f t="shared" ca="1" si="5"/>
        <v>84.699177053318067</v>
      </c>
      <c r="E23" s="18">
        <f t="shared" ca="1" si="6"/>
        <v>98.340859134706079</v>
      </c>
      <c r="F23" s="73" t="str">
        <f t="shared" ca="1" si="7"/>
        <v>8G</v>
      </c>
      <c r="G23" s="19">
        <f t="shared" ca="1" si="3"/>
        <v>0</v>
      </c>
      <c r="H23" s="20">
        <f t="shared" ca="1" si="10"/>
        <v>0.74058485140615449</v>
      </c>
      <c r="I23" s="19">
        <f t="shared" ca="1" si="8"/>
        <v>9.017247437073701</v>
      </c>
    </row>
    <row r="24" spans="1:10" x14ac:dyDescent="0.2">
      <c r="A24" s="17">
        <f t="shared" ca="1" si="0"/>
        <v>21</v>
      </c>
      <c r="B24" s="18">
        <f t="shared" ca="1" si="1"/>
        <v>2.5</v>
      </c>
      <c r="C24" s="18">
        <f t="shared" ca="1" si="2"/>
        <v>2.2000000000000002</v>
      </c>
      <c r="D24" s="19">
        <f t="shared" ca="1" si="5"/>
        <v>88.937517912452776</v>
      </c>
      <c r="E24" s="18">
        <f t="shared" ca="1" si="6"/>
        <v>98.340859134706079</v>
      </c>
      <c r="F24" s="73" t="str">
        <f t="shared" ca="1" si="7"/>
        <v/>
      </c>
      <c r="G24" s="19">
        <f t="shared" ca="1" si="3"/>
        <v>0</v>
      </c>
      <c r="H24" s="20">
        <f t="shared" ca="1" si="10"/>
        <v>0.77764366525265749</v>
      </c>
      <c r="I24" s="19">
        <f t="shared" ca="1" si="8"/>
        <v>8.0845903476882182</v>
      </c>
    </row>
    <row r="25" spans="1:10" x14ac:dyDescent="0.2">
      <c r="A25" s="17">
        <f t="shared" ca="1" si="0"/>
        <v>22</v>
      </c>
      <c r="B25" s="18">
        <f t="shared" ca="1" si="1"/>
        <v>2.2000000000000002</v>
      </c>
      <c r="C25" s="18">
        <f t="shared" ca="1" si="2"/>
        <v>1.9</v>
      </c>
      <c r="D25" s="19">
        <f t="shared" ca="1" si="5"/>
        <v>93.175858771587485</v>
      </c>
      <c r="E25" s="18">
        <f t="shared" ca="1" si="6"/>
        <v>98.340859134706079</v>
      </c>
      <c r="F25" s="73" t="str">
        <f t="shared" ca="1" si="7"/>
        <v/>
      </c>
      <c r="G25" s="19">
        <f t="shared" ca="1" si="3"/>
        <v>0</v>
      </c>
      <c r="H25" s="20">
        <f t="shared" ca="1" si="10"/>
        <v>0.81470247909916049</v>
      </c>
      <c r="I25" s="19">
        <f t="shared" ca="1" si="8"/>
        <v>7.0675723155442505</v>
      </c>
    </row>
    <row r="26" spans="1:10" x14ac:dyDescent="0.2">
      <c r="A26" s="17">
        <f t="shared" ca="1" si="0"/>
        <v>23</v>
      </c>
      <c r="B26" s="18">
        <f t="shared" ca="1" si="1"/>
        <v>1.9</v>
      </c>
      <c r="C26" s="18">
        <f t="shared" ca="1" si="2"/>
        <v>1.5</v>
      </c>
      <c r="D26" s="19">
        <f t="shared" ca="1" si="5"/>
        <v>97.41421135363629</v>
      </c>
      <c r="E26" s="18">
        <f t="shared" ca="1" si="6"/>
        <v>98.35258204880563</v>
      </c>
      <c r="F26" s="73" t="str">
        <f t="shared" ca="1" si="7"/>
        <v>9G</v>
      </c>
      <c r="G26" s="19">
        <f t="shared" ca="1" si="3"/>
        <v>0</v>
      </c>
      <c r="H26" s="20">
        <f t="shared" ca="1" si="10"/>
        <v>0.85176139544739837</v>
      </c>
      <c r="I26" s="19">
        <f t="shared" ca="1" si="8"/>
        <v>5.6997297216635205</v>
      </c>
    </row>
    <row r="27" spans="1:10" x14ac:dyDescent="0.2">
      <c r="A27" s="17">
        <f t="shared" ca="1" si="0"/>
        <v>24</v>
      </c>
      <c r="B27" s="18">
        <f t="shared" ca="1" si="1"/>
        <v>1.5</v>
      </c>
      <c r="C27" s="18">
        <f t="shared" ca="1" si="2"/>
        <v>1</v>
      </c>
      <c r="D27" s="19">
        <f t="shared" ca="1" si="5"/>
        <v>101.65256393568509</v>
      </c>
      <c r="E27" s="18">
        <f t="shared" ca="1" si="6"/>
        <v>98.35258204880563</v>
      </c>
      <c r="F27" s="73" t="str">
        <f t="shared" ca="1" si="7"/>
        <v/>
      </c>
      <c r="G27" s="19">
        <f t="shared" ca="1" si="3"/>
        <v>0</v>
      </c>
      <c r="H27" s="20">
        <f t="shared" ca="1" si="10"/>
        <v>0.88882031179563625</v>
      </c>
      <c r="I27" s="19">
        <f t="shared" ca="1" si="8"/>
        <v>4.1144923928258539</v>
      </c>
    </row>
    <row r="28" spans="1:10" x14ac:dyDescent="0.2">
      <c r="A28" s="17">
        <f t="shared" ca="1" si="0"/>
        <v>25</v>
      </c>
      <c r="B28" s="18">
        <f t="shared" ca="1" si="1"/>
        <v>1.1000000000000001</v>
      </c>
      <c r="C28" s="18">
        <f t="shared" ca="1" si="2"/>
        <v>0.7</v>
      </c>
      <c r="D28" s="19">
        <f t="shared" ca="1" si="5"/>
        <v>105.8909165177339</v>
      </c>
      <c r="E28" s="18">
        <f t="shared" ca="1" si="6"/>
        <v>98.35258204880563</v>
      </c>
      <c r="F28" s="73" t="str">
        <f t="shared" ca="1" si="7"/>
        <v/>
      </c>
      <c r="G28" s="19">
        <f t="shared" ca="1" si="3"/>
        <v>0</v>
      </c>
      <c r="H28" s="20">
        <f t="shared" ca="1" si="10"/>
        <v>0.92587922814387413</v>
      </c>
      <c r="I28" s="19">
        <f t="shared" ca="1" si="8"/>
        <v>3.0223566813557876</v>
      </c>
    </row>
    <row r="29" spans="1:10" x14ac:dyDescent="0.2">
      <c r="A29" s="17">
        <f t="shared" ca="1" si="0"/>
        <v>26</v>
      </c>
      <c r="B29" s="18">
        <f t="shared" ca="1" si="1"/>
        <v>0.7</v>
      </c>
      <c r="C29" s="18">
        <f t="shared" ca="1" si="2"/>
        <v>0.4</v>
      </c>
      <c r="D29" s="19">
        <f t="shared" ca="1" si="5"/>
        <v>110.12943717262615</v>
      </c>
      <c r="E29" s="18">
        <f t="shared" ca="1" si="6"/>
        <v>98.520654892248984</v>
      </c>
      <c r="F29" s="73" t="str">
        <f t="shared" ca="1" si="7"/>
        <v>10G</v>
      </c>
      <c r="G29" s="19">
        <f t="shared" ca="1" si="3"/>
        <v>0</v>
      </c>
      <c r="H29" s="20">
        <f t="shared" ca="1" si="10"/>
        <v>0.96293961407193707</v>
      </c>
      <c r="I29" s="19">
        <f t="shared" ca="1" si="8"/>
        <v>1.9250679696109176</v>
      </c>
    </row>
    <row r="30" spans="1:10" x14ac:dyDescent="0.2">
      <c r="A30" s="17">
        <f t="shared" ca="1" si="0"/>
        <v>27</v>
      </c>
      <c r="B30" s="18">
        <f t="shared" ca="1" si="1"/>
        <v>0.4</v>
      </c>
      <c r="C30" s="18">
        <f t="shared" ca="1" si="2"/>
        <v>0</v>
      </c>
      <c r="D30" s="19">
        <f t="shared" ca="1" si="5"/>
        <v>114.36795782751841</v>
      </c>
      <c r="E30" s="18">
        <f t="shared" ca="1" si="6"/>
        <v>98.520654892248984</v>
      </c>
      <c r="F30" s="73" t="str">
        <f t="shared" ca="1" si="7"/>
        <v/>
      </c>
      <c r="G30" s="19">
        <f t="shared" ca="1" si="3"/>
        <v>2.5999999999999999E-2</v>
      </c>
      <c r="H30" s="20">
        <f t="shared" ca="1" si="10"/>
        <v>1</v>
      </c>
      <c r="I30" s="19">
        <f t="shared" ca="1" si="8"/>
        <v>0.41788060803749189</v>
      </c>
    </row>
  </sheetData>
  <mergeCells count="1">
    <mergeCell ref="A1:I1"/>
  </mergeCells>
  <printOptions horizontalCentered="1"/>
  <pageMargins left="0.98425196850393704" right="0.78740157480314965" top="1.3779527559055118" bottom="1.5748031496062993" header="0.51181102362204722" footer="0.51181102362204722"/>
  <pageSetup paperSize="9" scale="8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N38" sqref="N38"/>
    </sheetView>
  </sheetViews>
  <sheetFormatPr defaultRowHeight="12.75" x14ac:dyDescent="0.2"/>
  <sheetData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709C198B7DFD248AA5DA988426CE9C5" ma:contentTypeVersion="0" ma:contentTypeDescription="Create a new document." ma:contentTypeScope="" ma:versionID="1a3efa8465805e425c067bbff946d86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b05d82d297216baf5b26c55225140d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9C3FE3C-A621-46FA-97FE-B6F21F082C91}"/>
</file>

<file path=customXml/itemProps2.xml><?xml version="1.0" encoding="utf-8"?>
<ds:datastoreItem xmlns:ds="http://schemas.openxmlformats.org/officeDocument/2006/customXml" ds:itemID="{E4F3E3BB-5228-4C10-BA54-51EE297378EA}"/>
</file>

<file path=customXml/itemProps3.xml><?xml version="1.0" encoding="utf-8"?>
<ds:datastoreItem xmlns:ds="http://schemas.openxmlformats.org/officeDocument/2006/customXml" ds:itemID="{DB3817A4-FD60-4569-A985-FA01081E957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UT-GOM2-1-H002-4CS-1</vt:lpstr>
      <vt:lpstr>UT-GOM2-1-H002-4CS-1 table</vt:lpstr>
      <vt:lpstr>graph</vt:lpstr>
      <vt:lpstr>'UT-GOM2-1-H002-4CS-1 table'!Print_Area</vt:lpstr>
    </vt:vector>
  </TitlesOfParts>
  <Company>Geotek Ltd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2017-05-08T14:45:57Z</cp:lastPrinted>
  <dcterms:created xsi:type="dcterms:W3CDTF">2012-06-25T14:59:26Z</dcterms:created>
  <dcterms:modified xsi:type="dcterms:W3CDTF">2017-06-02T13:21:52Z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0x0101003709C198B7DFD248AA5DA988426CE9C5</vt:lpwstr>
  </property>
</Properties>
</file>