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4715" yWindow="210" windowWidth="14805" windowHeight="7830"/>
  </bookViews>
  <sheets>
    <sheet name="Calculations 1.0&quot;" sheetId="3" r:id="rId1"/>
    <sheet name="Calculations 1.5&quot;" sheetId="2" r:id="rId2"/>
  </sheets>
  <calcPr calcId="145621"/>
</workbook>
</file>

<file path=xl/calcChain.xml><?xml version="1.0" encoding="utf-8"?>
<calcChain xmlns="http://schemas.openxmlformats.org/spreadsheetml/2006/main">
  <c r="E9" i="3" l="1"/>
  <c r="F9" i="3" s="1"/>
  <c r="F23" i="2" l="1"/>
  <c r="F23" i="3"/>
  <c r="F22" i="3"/>
  <c r="E22" i="3"/>
  <c r="E24" i="3" s="1"/>
  <c r="F19" i="3"/>
  <c r="E19" i="3"/>
  <c r="E18" i="3"/>
  <c r="P15" i="3"/>
  <c r="E16" i="3"/>
  <c r="P14" i="3"/>
  <c r="F14" i="3"/>
  <c r="F21" i="3" s="1"/>
  <c r="X8" i="3" s="1"/>
  <c r="E14" i="3"/>
  <c r="E21" i="3" s="1"/>
  <c r="F12" i="3"/>
  <c r="F18" i="3" s="1"/>
  <c r="E12" i="3"/>
  <c r="P10" i="3"/>
  <c r="P9" i="3"/>
  <c r="P8" i="3"/>
  <c r="F8" i="3"/>
  <c r="E8" i="3"/>
  <c r="P7" i="3"/>
  <c r="F6" i="3"/>
  <c r="E6" i="3"/>
  <c r="F5" i="3"/>
  <c r="E5" i="3"/>
  <c r="E7" i="3" s="1"/>
  <c r="F7" i="3" l="1"/>
  <c r="U8" i="3"/>
  <c r="F24" i="3"/>
  <c r="E10" i="3"/>
  <c r="F10" i="3" s="1"/>
  <c r="V8" i="3"/>
  <c r="S8" i="3"/>
  <c r="T8" i="3"/>
  <c r="E25" i="3"/>
  <c r="E26" i="3"/>
  <c r="E11" i="2"/>
  <c r="W8" i="3" l="1"/>
  <c r="Y8" i="3" s="1"/>
  <c r="F25" i="3" s="1"/>
  <c r="F26" i="3" s="1"/>
  <c r="E21" i="2"/>
  <c r="E23" i="2" s="1"/>
  <c r="F22" i="2" l="1"/>
  <c r="E18" i="2" l="1"/>
  <c r="E8" i="2"/>
  <c r="E6" i="2"/>
  <c r="E5" i="2"/>
  <c r="P15" i="2"/>
  <c r="P14" i="2"/>
  <c r="P10" i="2"/>
  <c r="P9" i="2"/>
  <c r="P8" i="2"/>
  <c r="P7" i="2"/>
  <c r="E7" i="2" l="1"/>
  <c r="E9" i="2" s="1"/>
  <c r="F21" i="2"/>
  <c r="F20" i="2"/>
  <c r="F18" i="2"/>
  <c r="F17" i="2"/>
  <c r="E15" i="2"/>
  <c r="F13" i="2"/>
  <c r="E13" i="2"/>
  <c r="E20" i="2" s="1"/>
  <c r="F11" i="2"/>
  <c r="E17" i="2"/>
  <c r="X8" i="2"/>
  <c r="F8" i="2"/>
  <c r="F6" i="2"/>
  <c r="F5" i="2"/>
  <c r="S8" i="2" l="1"/>
  <c r="T8" i="2" s="1"/>
  <c r="V8" i="2"/>
  <c r="F7" i="2"/>
  <c r="F9" i="2" s="1"/>
  <c r="E24" i="2"/>
  <c r="E25" i="2" s="1"/>
  <c r="U8" i="2"/>
  <c r="W8" i="2" l="1"/>
  <c r="Y8" i="2" s="1"/>
  <c r="F24" i="2" s="1"/>
  <c r="F25" i="2" s="1"/>
</calcChain>
</file>

<file path=xl/sharedStrings.xml><?xml version="1.0" encoding="utf-8"?>
<sst xmlns="http://schemas.openxmlformats.org/spreadsheetml/2006/main" count="213" uniqueCount="91">
  <si>
    <t>Billet Name</t>
  </si>
  <si>
    <t>Component</t>
  </si>
  <si>
    <t>Volume (ml)</t>
  </si>
  <si>
    <t>V1</t>
  </si>
  <si>
    <t>Pi</t>
  </si>
  <si>
    <t>Bulk Volume</t>
  </si>
  <si>
    <t>Diameter</t>
  </si>
  <si>
    <t>Length</t>
  </si>
  <si>
    <t>Pressure 1</t>
  </si>
  <si>
    <t xml:space="preserve">Volume 1 </t>
  </si>
  <si>
    <t>Pressure 2</t>
  </si>
  <si>
    <t>Volume (in3)</t>
  </si>
  <si>
    <t>Volume 2</t>
  </si>
  <si>
    <t>Initial</t>
  </si>
  <si>
    <t>Final</t>
  </si>
  <si>
    <t>Vacuum Pressure</t>
  </si>
  <si>
    <t>Variable</t>
  </si>
  <si>
    <t>Description</t>
  </si>
  <si>
    <t>Units</t>
  </si>
  <si>
    <t>psi</t>
  </si>
  <si>
    <t>Athmospheric Pressure</t>
  </si>
  <si>
    <t>D</t>
  </si>
  <si>
    <t>L</t>
  </si>
  <si>
    <t>Vb</t>
  </si>
  <si>
    <t>Pai</t>
  </si>
  <si>
    <t>Paf</t>
  </si>
  <si>
    <t>Pv</t>
  </si>
  <si>
    <t>P1g</t>
  </si>
  <si>
    <t>P1a</t>
  </si>
  <si>
    <t>P2g</t>
  </si>
  <si>
    <t>P2a</t>
  </si>
  <si>
    <t>Vg</t>
  </si>
  <si>
    <t>Vs</t>
  </si>
  <si>
    <t>Vsb</t>
  </si>
  <si>
    <t>1.5" Core</t>
  </si>
  <si>
    <t>Sample Chamber 1.5"</t>
  </si>
  <si>
    <t>Porosity</t>
  </si>
  <si>
    <t>%</t>
  </si>
  <si>
    <t>Volume of empty sample chamber minus billets used</t>
  </si>
  <si>
    <t>Values</t>
  </si>
  <si>
    <t>Vacuum pressure</t>
  </si>
  <si>
    <t>Final gauge pressure</t>
  </si>
  <si>
    <t>Final absolute pressure</t>
  </si>
  <si>
    <t>Initial gauge pressure</t>
  </si>
  <si>
    <t>Reference volume</t>
  </si>
  <si>
    <t>Empty sample chamber</t>
  </si>
  <si>
    <t>Volume grains</t>
  </si>
  <si>
    <t>ml</t>
  </si>
  <si>
    <t>cm</t>
  </si>
  <si>
    <t>Vbi</t>
  </si>
  <si>
    <t xml:space="preserve">Volume of billets </t>
  </si>
  <si>
    <t>n</t>
  </si>
  <si>
    <t>Pv minus perfect vacuum</t>
  </si>
  <si>
    <t>User input</t>
  </si>
  <si>
    <t>Calculation</t>
  </si>
  <si>
    <t>Sample Name</t>
  </si>
  <si>
    <t>m</t>
  </si>
  <si>
    <t>g</t>
  </si>
  <si>
    <t>Sample mass</t>
  </si>
  <si>
    <r>
      <t>n</t>
    </r>
    <r>
      <rPr>
        <sz val="11"/>
        <color theme="1"/>
        <rFont val="Symbol"/>
        <family val="1"/>
        <charset val="2"/>
      </rPr>
      <t>r</t>
    </r>
  </si>
  <si>
    <t>Porosity based on density*</t>
  </si>
  <si>
    <t>Length (cm)</t>
  </si>
  <si>
    <t>Trial</t>
  </si>
  <si>
    <t>SE Term 1 (E16+E21)</t>
  </si>
  <si>
    <t>SE Term 2 (E18*(E16+E21)</t>
  </si>
  <si>
    <t>SE Term 3 (E15*E16)</t>
  </si>
  <si>
    <t>SE Term 4 (E13*E21)</t>
  </si>
  <si>
    <t>SE Term 5 ((E18*(E16+E21)-E15*E16-E13*E21))</t>
  </si>
  <si>
    <t>Standard error of grain volume (E18*(E16+E21)-E15*E16-E13*E21)/(E18-E13)</t>
  </si>
  <si>
    <t>SE Term 6 (E18-E13)</t>
  </si>
  <si>
    <t>SE Term 7 (all)</t>
  </si>
  <si>
    <t>initial</t>
  </si>
  <si>
    <t>inHg</t>
  </si>
  <si>
    <t>PaiHG</t>
  </si>
  <si>
    <t>Initial absolute pressure</t>
  </si>
  <si>
    <t>Mass (g)</t>
  </si>
  <si>
    <t>Diameter (cm)</t>
  </si>
  <si>
    <t>Error and Propogated Error</t>
  </si>
  <si>
    <t>ml**</t>
  </si>
  <si>
    <t>**change cell values in E22 to reflect SE of billets used</t>
  </si>
  <si>
    <t>Propogated Error</t>
  </si>
  <si>
    <t xml:space="preserve">Reference Chamber </t>
  </si>
  <si>
    <t>Assumed Density (g/ml)</t>
  </si>
  <si>
    <t>Error and Propagated Error</t>
  </si>
  <si>
    <t>Assumed grain Density (g/ml)</t>
  </si>
  <si>
    <r>
      <rPr>
        <sz val="11"/>
        <color theme="1"/>
        <rFont val="Symbol"/>
        <family val="1"/>
        <charset val="2"/>
      </rPr>
      <t>r</t>
    </r>
    <r>
      <rPr>
        <sz val="11"/>
        <color theme="1"/>
        <rFont val="Calibri"/>
        <family val="2"/>
        <scheme val="minor"/>
      </rPr>
      <t>c</t>
    </r>
  </si>
  <si>
    <t>Calculated bulk density</t>
  </si>
  <si>
    <t>g/ml</t>
  </si>
  <si>
    <t>ml*</t>
  </si>
  <si>
    <t>Porosity based on density</t>
  </si>
  <si>
    <t>*change cell values in E22 to reflect SE of billets 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</si>
</sst>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7" applyNumberFormat="0" applyAlignment="0" applyProtection="0"/>
    <xf numFmtId="0" fontId="18" fillId="8" borderId="8" applyNumberFormat="0" applyAlignment="0" applyProtection="0"/>
    <xf numFmtId="0" fontId="19" fillId="8" borderId="7" applyNumberFormat="0" applyAlignment="0" applyProtection="0"/>
    <xf numFmtId="0" fontId="20" fillId="0" borderId="9" applyNumberFormat="0" applyFill="0" applyAlignment="0" applyProtection="0"/>
    <xf numFmtId="0" fontId="21" fillId="9" borderId="10" applyNumberFormat="0" applyAlignment="0" applyProtection="0"/>
    <xf numFmtId="0" fontId="22" fillId="0" borderId="0" applyNumberFormat="0" applyFill="0" applyBorder="0" applyAlignment="0" applyProtection="0"/>
    <xf numFmtId="0" fontId="9" fillId="10" borderId="11" applyNumberFormat="0" applyFont="0" applyAlignment="0" applyProtection="0"/>
    <xf numFmtId="0" fontId="23" fillId="0" borderId="0" applyNumberFormat="0" applyFill="0" applyBorder="0" applyAlignment="0" applyProtection="0"/>
    <xf numFmtId="0" fontId="1" fillId="0" borderId="12" applyNumberFormat="0" applyFill="0" applyAlignment="0" applyProtection="0"/>
    <xf numFmtId="0" fontId="24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4" fillId="34" borderId="0" applyNumberFormat="0" applyBorder="0" applyAlignment="0" applyProtection="0"/>
  </cellStyleXfs>
  <cellXfs count="8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0" xfId="0" applyBorder="1" applyAlignment="1">
      <alignment horizontal="center"/>
    </xf>
    <xf numFmtId="165" fontId="0" fillId="0" borderId="0" xfId="0" applyNumberFormat="1" applyBorder="1"/>
    <xf numFmtId="165" fontId="0" fillId="0" borderId="2" xfId="0" applyNumberFormat="1" applyBorder="1"/>
    <xf numFmtId="165" fontId="0" fillId="0" borderId="3" xfId="0" applyNumberFormat="1" applyBorder="1"/>
    <xf numFmtId="0" fontId="0" fillId="0" borderId="0" xfId="0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3" xfId="0" quotePrefix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164" fontId="0" fillId="3" borderId="2" xfId="0" applyNumberFormat="1" applyFill="1" applyBorder="1" applyAlignment="1">
      <alignment horizontal="center" vertical="center"/>
    </xf>
    <xf numFmtId="2" fontId="0" fillId="3" borderId="0" xfId="0" applyNumberFormat="1" applyFill="1" applyBorder="1" applyAlignment="1">
      <alignment horizontal="center" vertical="center"/>
    </xf>
    <xf numFmtId="2" fontId="0" fillId="3" borderId="3" xfId="0" applyNumberForma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 vertical="center"/>
    </xf>
    <xf numFmtId="164" fontId="0" fillId="0" borderId="2" xfId="0" applyNumberFormat="1" applyBorder="1"/>
    <xf numFmtId="164" fontId="0" fillId="0" borderId="0" xfId="0" applyNumberFormat="1" applyBorder="1"/>
    <xf numFmtId="164" fontId="0" fillId="0" borderId="3" xfId="0" applyNumberFormat="1" applyBorder="1"/>
    <xf numFmtId="2" fontId="0" fillId="3" borderId="0" xfId="0" applyNumberFormat="1" applyFill="1" applyAlignment="1">
      <alignment horizontal="center" vertical="center"/>
    </xf>
    <xf numFmtId="0" fontId="0" fillId="0" borderId="3" xfId="0" applyBorder="1" applyAlignment="1"/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0" fontId="0" fillId="3" borderId="2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Fill="1"/>
    <xf numFmtId="0" fontId="0" fillId="0" borderId="0" xfId="0" quotePrefix="1"/>
    <xf numFmtId="0" fontId="6" fillId="0" borderId="0" xfId="0" quotePrefix="1" applyFont="1"/>
    <xf numFmtId="0" fontId="5" fillId="0" borderId="0" xfId="0" quotePrefix="1" applyFont="1"/>
    <xf numFmtId="0" fontId="7" fillId="0" borderId="0" xfId="0" quotePrefix="1" applyFont="1"/>
    <xf numFmtId="0" fontId="8" fillId="0" borderId="0" xfId="0" quotePrefix="1" applyFont="1"/>
    <xf numFmtId="0" fontId="4" fillId="0" borderId="0" xfId="0" applyFont="1"/>
    <xf numFmtId="11" fontId="0" fillId="0" borderId="0" xfId="0" applyNumberFormat="1" applyBorder="1"/>
    <xf numFmtId="164" fontId="0" fillId="3" borderId="0" xfId="0" applyNumberFormat="1" applyFill="1" applyAlignment="1">
      <alignment horizontal="center"/>
    </xf>
    <xf numFmtId="165" fontId="0" fillId="3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Fill="1" applyAlignment="1">
      <alignment horizontal="center"/>
    </xf>
    <xf numFmtId="2" fontId="0" fillId="0" borderId="3" xfId="0" applyNumberFormat="1" applyFill="1" applyBorder="1"/>
    <xf numFmtId="2" fontId="0" fillId="0" borderId="0" xfId="0" applyNumberFormat="1" applyFill="1"/>
    <xf numFmtId="164" fontId="0" fillId="0" borderId="3" xfId="0" applyNumberFormat="1" applyFill="1" applyBorder="1"/>
    <xf numFmtId="164" fontId="0" fillId="0" borderId="0" xfId="0" applyNumberForma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/>
    <xf numFmtId="165" fontId="0" fillId="3" borderId="3" xfId="0" applyNumberFormat="1" applyFill="1" applyBorder="1" applyAlignment="1">
      <alignment horizontal="center" vertical="center"/>
    </xf>
    <xf numFmtId="164" fontId="0" fillId="2" borderId="0" xfId="0" applyNumberFormat="1" applyFill="1"/>
    <xf numFmtId="0" fontId="0" fillId="2" borderId="0" xfId="0" applyFill="1" applyAlignment="1">
      <alignment horizontal="right"/>
    </xf>
    <xf numFmtId="10" fontId="1" fillId="3" borderId="3" xfId="0" applyNumberFormat="1" applyFont="1" applyFill="1" applyBorder="1" applyAlignment="1">
      <alignment horizontal="center" vertical="center"/>
    </xf>
    <xf numFmtId="10" fontId="0" fillId="3" borderId="3" xfId="0" applyNumberFormat="1" applyFill="1" applyBorder="1" applyAlignment="1">
      <alignment horizontal="center"/>
    </xf>
    <xf numFmtId="10" fontId="0" fillId="3" borderId="3" xfId="0" applyNumberForma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quotePrefix="1" applyFont="1" applyBorder="1" applyAlignment="1">
      <alignment horizontal="center" vertical="center"/>
    </xf>
    <xf numFmtId="10" fontId="1" fillId="3" borderId="3" xfId="0" applyNumberFormat="1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tabSelected="1" workbookViewId="0">
      <selection activeCell="A34" sqref="A34"/>
    </sheetView>
  </sheetViews>
  <sheetFormatPr defaultRowHeight="15" x14ac:dyDescent="0.25"/>
  <cols>
    <col min="1" max="1" width="22" style="43" bestFit="1" customWidth="1"/>
    <col min="2" max="2" width="10.7109375" style="43" bestFit="1" customWidth="1"/>
    <col min="3" max="3" width="25.85546875" style="43" bestFit="1" customWidth="1"/>
    <col min="4" max="4" width="7.28515625" style="43" bestFit="1" customWidth="1"/>
    <col min="5" max="5" width="12" style="43" bestFit="1" customWidth="1"/>
    <col min="6" max="6" width="22.5703125" style="43" customWidth="1"/>
    <col min="7" max="7" width="19" style="43" customWidth="1"/>
    <col min="8" max="8" width="4.85546875" style="43" bestFit="1" customWidth="1"/>
    <col min="9" max="9" width="10.28515625" style="43" bestFit="1" customWidth="1"/>
    <col min="10" max="10" width="13.85546875" style="43" bestFit="1" customWidth="1"/>
    <col min="11" max="11" width="11.42578125" style="43" bestFit="1" customWidth="1"/>
    <col min="12" max="12" width="19" style="43" customWidth="1"/>
    <col min="13" max="13" width="21.7109375" style="43" bestFit="1" customWidth="1"/>
    <col min="14" max="15" width="18.5703125" style="43" bestFit="1" customWidth="1"/>
    <col min="16" max="16" width="16.140625" style="43" bestFit="1" customWidth="1"/>
    <col min="17" max="17" width="10.5703125" style="43" bestFit="1" customWidth="1"/>
    <col min="18" max="18" width="22" style="43" bestFit="1" customWidth="1"/>
    <col min="19" max="19" width="18.85546875" style="43" customWidth="1"/>
    <col min="20" max="20" width="23.42578125" style="43" bestFit="1" customWidth="1"/>
    <col min="21" max="22" width="18.5703125" style="43" bestFit="1" customWidth="1"/>
    <col min="23" max="23" width="41.5703125" style="43" bestFit="1" customWidth="1"/>
    <col min="24" max="24" width="18.85546875" style="43" bestFit="1" customWidth="1"/>
    <col min="25" max="25" width="13.5703125" style="43" bestFit="1" customWidth="1"/>
    <col min="26" max="16384" width="9.140625" style="43"/>
  </cols>
  <sheetData>
    <row r="1" spans="1:25" x14ac:dyDescent="0.25">
      <c r="A1" s="43" t="s">
        <v>55</v>
      </c>
      <c r="B1" s="79"/>
    </row>
    <row r="2" spans="1:25" x14ac:dyDescent="0.25">
      <c r="A2" s="43" t="s">
        <v>84</v>
      </c>
      <c r="B2" s="76"/>
    </row>
    <row r="4" spans="1:25" s="66" customFormat="1" ht="37.5" x14ac:dyDescent="0.25">
      <c r="A4" s="63" t="s">
        <v>1</v>
      </c>
      <c r="B4" s="63" t="s">
        <v>16</v>
      </c>
      <c r="C4" s="63" t="s">
        <v>17</v>
      </c>
      <c r="D4" s="63" t="s">
        <v>18</v>
      </c>
      <c r="E4" s="63" t="s">
        <v>39</v>
      </c>
      <c r="F4" s="64" t="s">
        <v>83</v>
      </c>
      <c r="G4" s="65"/>
      <c r="H4" s="67" t="s">
        <v>62</v>
      </c>
      <c r="I4" s="67" t="s">
        <v>75</v>
      </c>
      <c r="J4" s="67" t="s">
        <v>76</v>
      </c>
      <c r="K4" s="67" t="s">
        <v>61</v>
      </c>
      <c r="L4" s="65"/>
      <c r="M4" s="68" t="s">
        <v>34</v>
      </c>
    </row>
    <row r="5" spans="1:25" x14ac:dyDescent="0.25">
      <c r="A5" s="16"/>
      <c r="B5" s="17" t="s">
        <v>21</v>
      </c>
      <c r="C5" s="10" t="s">
        <v>6</v>
      </c>
      <c r="D5" s="18" t="s">
        <v>48</v>
      </c>
      <c r="E5" s="46" t="e">
        <f>AVERAGE(J5:J9)</f>
        <v>#DIV/0!</v>
      </c>
      <c r="F5" s="56" t="e">
        <f>STDEV(J5:J9)</f>
        <v>#DIV/0!</v>
      </c>
      <c r="H5" s="13">
        <v>1</v>
      </c>
      <c r="I5" s="75"/>
      <c r="J5" s="76"/>
      <c r="K5" s="76"/>
      <c r="M5" s="1" t="s">
        <v>0</v>
      </c>
      <c r="N5" s="1" t="s">
        <v>2</v>
      </c>
      <c r="O5" s="1" t="s">
        <v>80</v>
      </c>
      <c r="P5" s="1" t="s">
        <v>11</v>
      </c>
      <c r="Q5" s="1" t="s">
        <v>61</v>
      </c>
    </row>
    <row r="6" spans="1:25" x14ac:dyDescent="0.25">
      <c r="A6" s="19"/>
      <c r="B6" s="20" t="s">
        <v>22</v>
      </c>
      <c r="C6" s="5" t="s">
        <v>7</v>
      </c>
      <c r="D6" s="21" t="s">
        <v>48</v>
      </c>
      <c r="E6" s="47" t="e">
        <f>AVERAGE(K5:K9)</f>
        <v>#DIV/0!</v>
      </c>
      <c r="F6" s="56" t="e">
        <f>STDEV(K5:K9)</f>
        <v>#DIV/0!</v>
      </c>
      <c r="H6" s="13">
        <v>2</v>
      </c>
      <c r="I6" s="75"/>
      <c r="J6" s="76"/>
      <c r="K6" s="76"/>
      <c r="M6" s="2">
        <v>1</v>
      </c>
      <c r="N6" s="38">
        <v>6.5559867409841859</v>
      </c>
      <c r="O6" s="45">
        <v>4.0958833550034809E-2</v>
      </c>
      <c r="P6" s="7">
        <v>1.7565</v>
      </c>
      <c r="Q6" s="45">
        <v>1.2756400000000001</v>
      </c>
      <c r="S6" s="43" t="s">
        <v>68</v>
      </c>
    </row>
    <row r="7" spans="1:25" x14ac:dyDescent="0.25">
      <c r="A7" s="19"/>
      <c r="B7" s="20" t="s">
        <v>23</v>
      </c>
      <c r="C7" s="5" t="s">
        <v>5</v>
      </c>
      <c r="D7" s="21" t="s">
        <v>47</v>
      </c>
      <c r="E7" s="37" t="e">
        <f>PI()*(E5/2)^2*E6</f>
        <v>#DIV/0!</v>
      </c>
      <c r="F7" s="56" t="e">
        <f>E7*(SQRT((F6/E6)^2+(F5/E5)^2))</f>
        <v>#DIV/0!</v>
      </c>
      <c r="H7" s="13">
        <v>3</v>
      </c>
      <c r="I7" s="75"/>
      <c r="J7" s="76"/>
      <c r="K7" s="76"/>
      <c r="M7" s="3">
        <v>2</v>
      </c>
      <c r="N7" s="39">
        <v>3.2795493800034019</v>
      </c>
      <c r="O7" s="45">
        <v>2.0489138017157332E-2</v>
      </c>
      <c r="P7" s="6">
        <f>N7*0.0610237441</f>
        <v>0.20013038212864126</v>
      </c>
      <c r="Q7" s="45">
        <v>0.63952000000000009</v>
      </c>
      <c r="S7" s="49" t="s">
        <v>63</v>
      </c>
      <c r="T7" s="43" t="s">
        <v>64</v>
      </c>
      <c r="U7" s="43" t="s">
        <v>65</v>
      </c>
      <c r="V7" s="43" t="s">
        <v>66</v>
      </c>
      <c r="W7" s="43" t="s">
        <v>67</v>
      </c>
      <c r="X7" s="43" t="s">
        <v>69</v>
      </c>
      <c r="Y7" s="43" t="s">
        <v>70</v>
      </c>
    </row>
    <row r="8" spans="1:25" x14ac:dyDescent="0.25">
      <c r="A8" s="19"/>
      <c r="B8" s="20" t="s">
        <v>56</v>
      </c>
      <c r="C8" s="5" t="s">
        <v>58</v>
      </c>
      <c r="D8" s="21" t="s">
        <v>57</v>
      </c>
      <c r="E8" s="37" t="e">
        <f>AVERAGE(I5:I9)</f>
        <v>#DIV/0!</v>
      </c>
      <c r="F8" s="56" t="e">
        <f>STDEV(I5:I9)/SQRT(5)</f>
        <v>#DIV/0!</v>
      </c>
      <c r="H8" s="13">
        <v>4</v>
      </c>
      <c r="I8" s="75"/>
      <c r="J8" s="76"/>
      <c r="K8" s="76"/>
      <c r="M8" s="3">
        <v>3</v>
      </c>
      <c r="N8" s="39">
        <v>3.2466138453473508</v>
      </c>
      <c r="O8" s="45">
        <v>2.0283371725193278E-2</v>
      </c>
      <c r="P8" s="6">
        <f>N8*0.0610237441</f>
        <v>0.1981205324899937</v>
      </c>
      <c r="Q8" s="45">
        <v>0.63253999999999999</v>
      </c>
      <c r="S8" s="43">
        <f>SQRT(F19^2+F24^2)</f>
        <v>0.25595923317087643</v>
      </c>
      <c r="T8" s="43" t="e">
        <f>(E21+(E19+E24))*((F21/E21^2)+(S8/(E19+E24))^2)^0.5</f>
        <v>#DIV/0!</v>
      </c>
      <c r="U8" s="43" t="e">
        <f>(E18*E19)*((F18/E18)^2+(F19/E19)^2)^0.5</f>
        <v>#DIV/0!</v>
      </c>
      <c r="V8" s="43">
        <f>(E16*E24)*((F16/E16)^2+(F24/E24)^2)^0.5</f>
        <v>6.4609148321153791</v>
      </c>
      <c r="W8" s="43" t="e">
        <f>(T8^2+U8^2+V8^2)^0.5</f>
        <v>#DIV/0!</v>
      </c>
      <c r="X8" s="43">
        <f>(F21^2+F16^2)^0.5</f>
        <v>0.42497421216249337</v>
      </c>
      <c r="Y8" s="49" t="e">
        <f>E25*((W8/(E21*(E19+E24)-E18*E19-E16*E24))^2+(X8/(E21-E16))^2)^0.5</f>
        <v>#DIV/0!</v>
      </c>
    </row>
    <row r="9" spans="1:25" x14ac:dyDescent="0.25">
      <c r="A9" s="19"/>
      <c r="B9" s="20" t="s">
        <v>85</v>
      </c>
      <c r="C9" s="5" t="s">
        <v>86</v>
      </c>
      <c r="D9" s="21" t="s">
        <v>87</v>
      </c>
      <c r="E9" s="37" t="e">
        <f>E8/E7</f>
        <v>#DIV/0!</v>
      </c>
      <c r="F9" s="56" t="e">
        <f>E9*SQRT((F7/E7)^2*(F8/E8)^2)</f>
        <v>#DIV/0!</v>
      </c>
      <c r="H9" s="13">
        <v>5</v>
      </c>
      <c r="I9" s="75"/>
      <c r="J9" s="76"/>
      <c r="K9" s="78"/>
      <c r="M9" s="3">
        <v>4</v>
      </c>
      <c r="N9" s="39">
        <v>1.6013931220560662</v>
      </c>
      <c r="O9" s="45">
        <v>1.0004778369124452E-2</v>
      </c>
      <c r="P9" s="6">
        <f>N9*0.0610237441</f>
        <v>9.7723004083849443E-2</v>
      </c>
      <c r="Q9" s="45">
        <v>0.31226000000000004</v>
      </c>
    </row>
    <row r="10" spans="1:25" x14ac:dyDescent="0.25">
      <c r="A10" s="22"/>
      <c r="B10" s="23" t="s">
        <v>59</v>
      </c>
      <c r="C10" s="11" t="s">
        <v>89</v>
      </c>
      <c r="D10" s="24" t="s">
        <v>37</v>
      </c>
      <c r="E10" s="82" t="e">
        <f>1-(E8/E7)/B2</f>
        <v>#DIV/0!</v>
      </c>
      <c r="F10" s="81" t="e">
        <f>E10*(SQRT((F8/E8)^2+(F7/E7)^2))</f>
        <v>#DIV/0!</v>
      </c>
      <c r="H10" s="13"/>
      <c r="I10" s="69"/>
      <c r="J10" s="48"/>
      <c r="K10" s="48"/>
      <c r="M10" s="4">
        <v>5</v>
      </c>
      <c r="N10" s="40">
        <v>1.5941317443366216</v>
      </c>
      <c r="O10" s="40">
        <v>9.9594125724709239E-3</v>
      </c>
      <c r="P10" s="8">
        <f>N10*0.0610237441</f>
        <v>9.7279887628084621E-2</v>
      </c>
      <c r="Q10" s="40">
        <v>0.31023999999999996</v>
      </c>
    </row>
    <row r="11" spans="1:25" x14ac:dyDescent="0.25">
      <c r="A11" s="19" t="s">
        <v>20</v>
      </c>
      <c r="B11" s="20" t="s">
        <v>73</v>
      </c>
      <c r="C11" s="5" t="s">
        <v>71</v>
      </c>
      <c r="D11" s="21" t="s">
        <v>72</v>
      </c>
      <c r="E11" s="35"/>
      <c r="F11" s="58">
        <v>0.05</v>
      </c>
      <c r="M11" s="3"/>
      <c r="N11" s="39"/>
      <c r="O11" s="6"/>
      <c r="P11" s="55"/>
      <c r="Q11" s="6"/>
    </row>
    <row r="12" spans="1:25" x14ac:dyDescent="0.25">
      <c r="B12" s="20" t="s">
        <v>24</v>
      </c>
      <c r="C12" s="5" t="s">
        <v>13</v>
      </c>
      <c r="D12" s="21" t="s">
        <v>19</v>
      </c>
      <c r="E12" s="32">
        <f>E11*0.49115415223</f>
        <v>0</v>
      </c>
      <c r="F12" s="57">
        <f>F11*0.49115415223</f>
        <v>2.4557707611500001E-2</v>
      </c>
    </row>
    <row r="13" spans="1:25" x14ac:dyDescent="0.25">
      <c r="A13" s="19"/>
      <c r="B13" s="20" t="s">
        <v>73</v>
      </c>
      <c r="C13" s="5" t="s">
        <v>14</v>
      </c>
      <c r="D13" s="21" t="s">
        <v>72</v>
      </c>
      <c r="E13" s="35"/>
      <c r="F13" s="30">
        <v>0.05</v>
      </c>
      <c r="M13" s="1" t="s">
        <v>1</v>
      </c>
      <c r="N13" s="1" t="s">
        <v>2</v>
      </c>
      <c r="O13" s="1" t="s">
        <v>80</v>
      </c>
      <c r="P13" s="1" t="s">
        <v>11</v>
      </c>
      <c r="Q13" s="3"/>
    </row>
    <row r="14" spans="1:25" x14ac:dyDescent="0.25">
      <c r="A14" s="22"/>
      <c r="B14" s="23" t="s">
        <v>25</v>
      </c>
      <c r="C14" s="11" t="s">
        <v>14</v>
      </c>
      <c r="D14" s="24" t="s">
        <v>19</v>
      </c>
      <c r="E14" s="33">
        <f>E13*0.49115415223</f>
        <v>0</v>
      </c>
      <c r="F14" s="59">
        <f>F13*0.49115415223</f>
        <v>2.4557707611500001E-2</v>
      </c>
      <c r="M14" s="9" t="s">
        <v>35</v>
      </c>
      <c r="N14" s="73">
        <v>18.385636197248086</v>
      </c>
      <c r="O14" s="71">
        <v>0.22712531274152309</v>
      </c>
      <c r="P14" s="6">
        <f>N14*0.0610237441</f>
        <v>1.1219603584165643</v>
      </c>
      <c r="Q14" s="3"/>
    </row>
    <row r="15" spans="1:25" x14ac:dyDescent="0.25">
      <c r="A15" s="16" t="s">
        <v>15</v>
      </c>
      <c r="B15" s="17" t="s">
        <v>26</v>
      </c>
      <c r="C15" s="10" t="s">
        <v>40</v>
      </c>
      <c r="D15" s="18" t="s">
        <v>19</v>
      </c>
      <c r="E15" s="36"/>
      <c r="F15" s="58">
        <v>0.3</v>
      </c>
      <c r="M15" s="42" t="s">
        <v>81</v>
      </c>
      <c r="N15" s="72">
        <v>9.2643646437593237</v>
      </c>
      <c r="O15" s="70">
        <v>0.11444650021848601</v>
      </c>
      <c r="P15" s="8">
        <f>N15*0.0610237441</f>
        <v>0.56534621726985668</v>
      </c>
      <c r="Q15" s="3"/>
    </row>
    <row r="16" spans="1:25" x14ac:dyDescent="0.25">
      <c r="A16" s="22"/>
      <c r="B16" s="23" t="s">
        <v>4</v>
      </c>
      <c r="C16" s="15" t="s">
        <v>52</v>
      </c>
      <c r="D16" s="25" t="s">
        <v>19</v>
      </c>
      <c r="E16" s="33">
        <f>(E15/(-3.9865334731E-23*E15^5 + 1.8413900717E-18*E15^4 - 3.5148991187E-14*E15^3 + 1.9567389783E-10*E15^2 + 0.000031122396573*E15^1 + 0.9999793782))-(-14.6959488)</f>
        <v>14.6959488</v>
      </c>
      <c r="F16" s="60">
        <v>0.3</v>
      </c>
      <c r="Q16" s="3"/>
    </row>
    <row r="17" spans="1:17" x14ac:dyDescent="0.25">
      <c r="A17" s="16" t="s">
        <v>8</v>
      </c>
      <c r="B17" s="17" t="s">
        <v>27</v>
      </c>
      <c r="C17" s="10" t="s">
        <v>43</v>
      </c>
      <c r="D17" s="18" t="s">
        <v>19</v>
      </c>
      <c r="E17" s="36"/>
      <c r="F17" s="58">
        <v>0.3</v>
      </c>
    </row>
    <row r="18" spans="1:17" x14ac:dyDescent="0.25">
      <c r="A18" s="22"/>
      <c r="B18" s="23" t="s">
        <v>28</v>
      </c>
      <c r="C18" s="11" t="s">
        <v>74</v>
      </c>
      <c r="D18" s="24" t="s">
        <v>19</v>
      </c>
      <c r="E18" s="33">
        <f>(E17/(-3.9865334731E-23*E17^5 + 1.8413900717E-18*E17^4 - 3.5148991187E-14*E17^3 + 1.9567389783E-10*E17^2 + 0.000031122396573*E17^1 + 0.9999793782))+E12</f>
        <v>0</v>
      </c>
      <c r="F18" s="61">
        <f>(SQRT(F17^2+F12^2))</f>
        <v>0.30100345679598423</v>
      </c>
    </row>
    <row r="19" spans="1:17" x14ac:dyDescent="0.25">
      <c r="A19" s="44" t="s">
        <v>9</v>
      </c>
      <c r="B19" s="12" t="s">
        <v>3</v>
      </c>
      <c r="C19" s="13" t="s">
        <v>44</v>
      </c>
      <c r="D19" s="14" t="s">
        <v>47</v>
      </c>
      <c r="E19" s="41">
        <f>N15</f>
        <v>9.2643646437593237</v>
      </c>
      <c r="F19" s="62">
        <f>O15</f>
        <v>0.11444650021848601</v>
      </c>
    </row>
    <row r="20" spans="1:17" x14ac:dyDescent="0.25">
      <c r="A20" s="16" t="s">
        <v>10</v>
      </c>
      <c r="B20" s="17" t="s">
        <v>29</v>
      </c>
      <c r="C20" s="10" t="s">
        <v>41</v>
      </c>
      <c r="D20" s="18" t="s">
        <v>19</v>
      </c>
      <c r="E20" s="36"/>
      <c r="F20" s="58">
        <v>0.3</v>
      </c>
    </row>
    <row r="21" spans="1:17" x14ac:dyDescent="0.25">
      <c r="A21" s="22"/>
      <c r="B21" s="23" t="s">
        <v>30</v>
      </c>
      <c r="C21" s="11" t="s">
        <v>42</v>
      </c>
      <c r="D21" s="24" t="s">
        <v>19</v>
      </c>
      <c r="E21" s="33">
        <f>(E20/(-3.9865334731E-23*E20^5 + 1.8413900717E-18*E20^4 - 3.5148991187E-14*E20^3 + 1.9567389783E-10*E20^2 + 0.000031122396573*E20^1 + 0.9999793782))+E14</f>
        <v>0</v>
      </c>
      <c r="F21" s="61">
        <f>(SQRT(F20^2+F14^2))</f>
        <v>0.30100345679598423</v>
      </c>
    </row>
    <row r="22" spans="1:17" x14ac:dyDescent="0.25">
      <c r="A22" s="16" t="s">
        <v>12</v>
      </c>
      <c r="B22" s="17" t="s">
        <v>32</v>
      </c>
      <c r="C22" s="10" t="s">
        <v>45</v>
      </c>
      <c r="D22" s="18" t="s">
        <v>47</v>
      </c>
      <c r="E22" s="34">
        <f>N14</f>
        <v>18.385636197248086</v>
      </c>
      <c r="F22" s="57">
        <f>O14</f>
        <v>0.22712531274152309</v>
      </c>
    </row>
    <row r="23" spans="1:17" x14ac:dyDescent="0.25">
      <c r="A23" s="19"/>
      <c r="B23" s="20" t="s">
        <v>49</v>
      </c>
      <c r="C23" s="5" t="s">
        <v>50</v>
      </c>
      <c r="D23" s="21" t="s">
        <v>88</v>
      </c>
      <c r="E23" s="35"/>
      <c r="F23" s="57">
        <f>SQRT(O8^2+O7^2)</f>
        <v>2.8830885266125494E-2</v>
      </c>
    </row>
    <row r="24" spans="1:17" ht="30" x14ac:dyDescent="0.25">
      <c r="A24" s="26"/>
      <c r="B24" s="20" t="s">
        <v>33</v>
      </c>
      <c r="C24" s="27" t="s">
        <v>38</v>
      </c>
      <c r="D24" s="21" t="s">
        <v>47</v>
      </c>
      <c r="E24" s="32">
        <f>E22-E23</f>
        <v>18.385636197248086</v>
      </c>
      <c r="F24" s="77">
        <f>SQRT(F23^2+F22^2)</f>
        <v>0.22894787099504368</v>
      </c>
    </row>
    <row r="25" spans="1:17" x14ac:dyDescent="0.25">
      <c r="A25" s="16"/>
      <c r="B25" s="17" t="s">
        <v>31</v>
      </c>
      <c r="C25" s="10" t="s">
        <v>46</v>
      </c>
      <c r="D25" s="18" t="s">
        <v>47</v>
      </c>
      <c r="E25" s="31">
        <f>(E21*(E19+E24)-E18*E19-E16*E24)/(E21-E16)</f>
        <v>18.385636197248086</v>
      </c>
      <c r="F25" s="57" t="e">
        <f>Y8</f>
        <v>#DIV/0!</v>
      </c>
      <c r="J25" s="75" t="s">
        <v>53</v>
      </c>
    </row>
    <row r="26" spans="1:17" x14ac:dyDescent="0.25">
      <c r="A26" s="22" t="s">
        <v>36</v>
      </c>
      <c r="B26" s="83" t="s">
        <v>51</v>
      </c>
      <c r="C26" s="22" t="s">
        <v>36</v>
      </c>
      <c r="D26" s="84" t="s">
        <v>37</v>
      </c>
      <c r="E26" s="80" t="e">
        <f>1-(E25/E7)</f>
        <v>#DIV/0!</v>
      </c>
      <c r="F26" s="85" t="e">
        <f>(E26)*(SQRT((F25/E25)^2+(F7/E7)^2))</f>
        <v>#DIV/0!</v>
      </c>
      <c r="J26" s="30" t="s">
        <v>54</v>
      </c>
    </row>
    <row r="30" spans="1:17" x14ac:dyDescent="0.25">
      <c r="A30" s="43" t="s">
        <v>90</v>
      </c>
    </row>
    <row r="31" spans="1:17" x14ac:dyDescent="0.25">
      <c r="Q31" s="45"/>
    </row>
    <row r="32" spans="1:17" x14ac:dyDescent="0.25">
      <c r="Q32" s="45"/>
    </row>
    <row r="33" spans="6:17" x14ac:dyDescent="0.25">
      <c r="F33" s="54"/>
      <c r="Q33" s="45"/>
    </row>
    <row r="34" spans="6:17" x14ac:dyDescent="0.25">
      <c r="F34" s="50"/>
      <c r="Q34" s="45"/>
    </row>
    <row r="35" spans="6:17" x14ac:dyDescent="0.25">
      <c r="F35" s="51"/>
      <c r="Q35" s="45"/>
    </row>
    <row r="36" spans="6:17" x14ac:dyDescent="0.25">
      <c r="F36" s="52"/>
    </row>
    <row r="37" spans="6:17" x14ac:dyDescent="0.25">
      <c r="F37" s="53"/>
    </row>
    <row r="38" spans="6:17" x14ac:dyDescent="0.25">
      <c r="F38" s="49"/>
    </row>
    <row r="39" spans="6:17" x14ac:dyDescent="0.25">
      <c r="F39" s="49"/>
    </row>
    <row r="40" spans="6:17" x14ac:dyDescent="0.25">
      <c r="F40" s="4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workbookViewId="0">
      <selection activeCell="F21" sqref="F21"/>
    </sheetView>
  </sheetViews>
  <sheetFormatPr defaultRowHeight="15" x14ac:dyDescent="0.25"/>
  <cols>
    <col min="1" max="1" width="22" style="43" bestFit="1" customWidth="1"/>
    <col min="2" max="2" width="10.7109375" style="43" bestFit="1" customWidth="1"/>
    <col min="3" max="3" width="25.85546875" style="43" bestFit="1" customWidth="1"/>
    <col min="4" max="4" width="7.28515625" style="43" bestFit="1" customWidth="1"/>
    <col min="5" max="5" width="12" style="43" bestFit="1" customWidth="1"/>
    <col min="6" max="6" width="22.5703125" style="43" customWidth="1"/>
    <col min="7" max="7" width="19" style="43" customWidth="1"/>
    <col min="8" max="8" width="4.85546875" style="43" bestFit="1" customWidth="1"/>
    <col min="9" max="9" width="10.28515625" style="43" bestFit="1" customWidth="1"/>
    <col min="10" max="10" width="13.85546875" style="43" bestFit="1" customWidth="1"/>
    <col min="11" max="11" width="11.42578125" style="43" bestFit="1" customWidth="1"/>
    <col min="12" max="12" width="19" style="43" customWidth="1"/>
    <col min="13" max="13" width="21.7109375" style="43" bestFit="1" customWidth="1"/>
    <col min="14" max="15" width="18.5703125" style="43" bestFit="1" customWidth="1"/>
    <col min="16" max="16" width="16.140625" style="43" bestFit="1" customWidth="1"/>
    <col min="17" max="17" width="10.5703125" style="43" bestFit="1" customWidth="1"/>
    <col min="18" max="18" width="22" style="43" bestFit="1" customWidth="1"/>
    <col min="19" max="19" width="18.85546875" style="43" customWidth="1"/>
    <col min="20" max="20" width="23.42578125" style="43" bestFit="1" customWidth="1"/>
    <col min="21" max="22" width="18.5703125" style="43" bestFit="1" customWidth="1"/>
    <col min="23" max="23" width="41.5703125" style="43" bestFit="1" customWidth="1"/>
    <col min="24" max="24" width="18.85546875" style="43" bestFit="1" customWidth="1"/>
    <col min="25" max="25" width="13.5703125" style="43" bestFit="1" customWidth="1"/>
    <col min="26" max="16384" width="9.140625" style="43"/>
  </cols>
  <sheetData>
    <row r="1" spans="1:25" x14ac:dyDescent="0.25">
      <c r="A1" s="43" t="s">
        <v>55</v>
      </c>
      <c r="B1" s="79"/>
    </row>
    <row r="2" spans="1:25" x14ac:dyDescent="0.25">
      <c r="A2" s="43" t="s">
        <v>82</v>
      </c>
      <c r="B2" s="74"/>
    </row>
    <row r="4" spans="1:25" s="66" customFormat="1" ht="37.5" x14ac:dyDescent="0.25">
      <c r="A4" s="63" t="s">
        <v>1</v>
      </c>
      <c r="B4" s="63" t="s">
        <v>16</v>
      </c>
      <c r="C4" s="63" t="s">
        <v>17</v>
      </c>
      <c r="D4" s="63" t="s">
        <v>18</v>
      </c>
      <c r="E4" s="63" t="s">
        <v>39</v>
      </c>
      <c r="F4" s="64" t="s">
        <v>77</v>
      </c>
      <c r="G4" s="65"/>
      <c r="H4" s="67" t="s">
        <v>62</v>
      </c>
      <c r="I4" s="67" t="s">
        <v>75</v>
      </c>
      <c r="J4" s="67" t="s">
        <v>76</v>
      </c>
      <c r="K4" s="67" t="s">
        <v>61</v>
      </c>
      <c r="L4" s="65"/>
      <c r="M4" s="68" t="s">
        <v>34</v>
      </c>
    </row>
    <row r="5" spans="1:25" x14ac:dyDescent="0.25">
      <c r="A5" s="16"/>
      <c r="B5" s="17" t="s">
        <v>21</v>
      </c>
      <c r="C5" s="10" t="s">
        <v>6</v>
      </c>
      <c r="D5" s="18" t="s">
        <v>48</v>
      </c>
      <c r="E5" s="46" t="e">
        <f>AVERAGE(J5:J9)</f>
        <v>#DIV/0!</v>
      </c>
      <c r="F5" s="56" t="e">
        <f>STDEV(J5:J9)</f>
        <v>#DIV/0!</v>
      </c>
      <c r="H5" s="13">
        <v>1</v>
      </c>
      <c r="I5" s="75"/>
      <c r="J5" s="76"/>
      <c r="K5" s="76"/>
      <c r="M5" s="1" t="s">
        <v>0</v>
      </c>
      <c r="N5" s="1" t="s">
        <v>2</v>
      </c>
      <c r="O5" s="1" t="s">
        <v>80</v>
      </c>
      <c r="P5" s="1" t="s">
        <v>11</v>
      </c>
      <c r="Q5" s="1" t="s">
        <v>61</v>
      </c>
    </row>
    <row r="6" spans="1:25" x14ac:dyDescent="0.25">
      <c r="A6" s="19"/>
      <c r="B6" s="20" t="s">
        <v>22</v>
      </c>
      <c r="C6" s="5" t="s">
        <v>7</v>
      </c>
      <c r="D6" s="21" t="s">
        <v>48</v>
      </c>
      <c r="E6" s="47" t="e">
        <f>AVERAGE(K5:K9)</f>
        <v>#DIV/0!</v>
      </c>
      <c r="F6" s="56" t="e">
        <f>STDEV(K5:K9)</f>
        <v>#DIV/0!</v>
      </c>
      <c r="H6" s="13">
        <v>2</v>
      </c>
      <c r="I6" s="75"/>
      <c r="J6" s="76"/>
      <c r="K6" s="76"/>
      <c r="M6" s="2">
        <v>1</v>
      </c>
      <c r="N6" s="38">
        <v>29.286692352031025</v>
      </c>
      <c r="O6" s="45">
        <v>0.18296997914578514</v>
      </c>
      <c r="P6" s="7">
        <v>1.7565</v>
      </c>
      <c r="Q6" s="45">
        <v>2.528</v>
      </c>
      <c r="S6" s="43" t="s">
        <v>68</v>
      </c>
    </row>
    <row r="7" spans="1:25" x14ac:dyDescent="0.25">
      <c r="A7" s="19"/>
      <c r="B7" s="20" t="s">
        <v>23</v>
      </c>
      <c r="C7" s="5" t="s">
        <v>5</v>
      </c>
      <c r="D7" s="21" t="s">
        <v>47</v>
      </c>
      <c r="E7" s="37" t="e">
        <f>PI()*(E5/2)^2*E6</f>
        <v>#DIV/0!</v>
      </c>
      <c r="F7" s="56" t="e">
        <f>E7*(SQRT((F6/E6)^2+(F5/E5)^2))</f>
        <v>#DIV/0!</v>
      </c>
      <c r="H7" s="13">
        <v>3</v>
      </c>
      <c r="I7" s="75"/>
      <c r="J7" s="76"/>
      <c r="K7" s="76"/>
      <c r="M7" s="3">
        <v>2</v>
      </c>
      <c r="N7" s="39">
        <v>7.3241367697339959</v>
      </c>
      <c r="O7" s="45">
        <v>4.5757886753168116E-2</v>
      </c>
      <c r="P7" s="6">
        <f>N7*0.0610237441</f>
        <v>0.44694624798964799</v>
      </c>
      <c r="Q7" s="45">
        <v>0.63100000000000012</v>
      </c>
      <c r="S7" s="49" t="s">
        <v>63</v>
      </c>
      <c r="T7" s="43" t="s">
        <v>64</v>
      </c>
      <c r="U7" s="43" t="s">
        <v>65</v>
      </c>
      <c r="V7" s="43" t="s">
        <v>66</v>
      </c>
      <c r="W7" s="43" t="s">
        <v>67</v>
      </c>
      <c r="X7" s="43" t="s">
        <v>69</v>
      </c>
      <c r="Y7" s="43" t="s">
        <v>70</v>
      </c>
    </row>
    <row r="8" spans="1:25" x14ac:dyDescent="0.25">
      <c r="A8" s="19"/>
      <c r="B8" s="20" t="s">
        <v>56</v>
      </c>
      <c r="C8" s="5" t="s">
        <v>58</v>
      </c>
      <c r="D8" s="21" t="s">
        <v>57</v>
      </c>
      <c r="E8" s="37" t="e">
        <f>AVERAGE(I5:I9)</f>
        <v>#DIV/0!</v>
      </c>
      <c r="F8" s="56" t="e">
        <f>STDEV(I5:I9)/SQRT(5)</f>
        <v>#DIV/0!</v>
      </c>
      <c r="H8" s="13">
        <v>4</v>
      </c>
      <c r="I8" s="75"/>
      <c r="J8" s="76"/>
      <c r="K8" s="76"/>
      <c r="M8" s="3">
        <v>3</v>
      </c>
      <c r="N8" s="39">
        <v>7.3158380523403439</v>
      </c>
      <c r="O8" s="45">
        <v>4.5706040128421041E-2</v>
      </c>
      <c r="P8" s="6">
        <f>N8*0.0610237441</f>
        <v>0.44643982918305952</v>
      </c>
      <c r="Q8" s="45">
        <v>0.6343333333333333</v>
      </c>
      <c r="S8" s="43">
        <f>SQRT(F18^2+F23^2)</f>
        <v>0.32276144205662272</v>
      </c>
      <c r="T8" s="43" t="e">
        <f>(E20+(E18+E23))*((F20/E20^2)+(S8/(E18+E23))^2)^0.5</f>
        <v>#DIV/0!</v>
      </c>
      <c r="U8" s="43" t="e">
        <f>(E17*E18)*((F17/E17)^2+(F18/E18)^2)^0.5</f>
        <v>#DIV/0!</v>
      </c>
      <c r="V8" s="43">
        <f>(E15*E23)*((F15/E15)^2+(F23/E23)^2)^0.5</f>
        <v>12.281950071855183</v>
      </c>
      <c r="W8" s="43" t="e">
        <f>(T8^2+U8^2+V8^2)^0.5</f>
        <v>#DIV/0!</v>
      </c>
      <c r="X8" s="43">
        <f>(F20^2+F15^2)^0.5</f>
        <v>0.42497421216249337</v>
      </c>
      <c r="Y8" s="49" t="e">
        <f>E24*((W8/(E20*(E18+E23)-E17*E18-E15*E23))^2+(X8/(E20-E15))^2)^0.5</f>
        <v>#DIV/0!</v>
      </c>
    </row>
    <row r="9" spans="1:25" x14ac:dyDescent="0.25">
      <c r="A9" s="22"/>
      <c r="B9" s="23" t="s">
        <v>59</v>
      </c>
      <c r="C9" s="11" t="s">
        <v>60</v>
      </c>
      <c r="D9" s="24" t="s">
        <v>37</v>
      </c>
      <c r="E9" s="82" t="e">
        <f>1-(E8/E7)/B2</f>
        <v>#DIV/0!</v>
      </c>
      <c r="F9" s="81" t="e">
        <f>E9*(SQRT((F8/E8)^2+(F7/E7)^2))</f>
        <v>#DIV/0!</v>
      </c>
      <c r="H9" s="13">
        <v>5</v>
      </c>
      <c r="I9" s="75"/>
      <c r="J9" s="76"/>
      <c r="K9" s="78"/>
      <c r="M9" s="3">
        <v>4</v>
      </c>
      <c r="N9" s="39">
        <v>3.6384689072788015</v>
      </c>
      <c r="O9" s="45">
        <v>2.2731504537460003E-2</v>
      </c>
      <c r="P9" s="6">
        <f>N9*0.0610237441</f>
        <v>0.22203299551358821</v>
      </c>
      <c r="Q9" s="45">
        <v>0.3153333333333333</v>
      </c>
    </row>
    <row r="10" spans="1:25" x14ac:dyDescent="0.25">
      <c r="A10" s="19" t="s">
        <v>20</v>
      </c>
      <c r="B10" s="20" t="s">
        <v>73</v>
      </c>
      <c r="C10" s="5" t="s">
        <v>71</v>
      </c>
      <c r="D10" s="21" t="s">
        <v>72</v>
      </c>
      <c r="E10" s="35"/>
      <c r="F10" s="58">
        <v>0.05</v>
      </c>
      <c r="H10" s="13"/>
      <c r="I10" s="69"/>
      <c r="J10" s="48"/>
      <c r="K10" s="48"/>
      <c r="M10" s="4">
        <v>5</v>
      </c>
      <c r="N10" s="40">
        <v>3.6353568882561844</v>
      </c>
      <c r="O10" s="40">
        <v>2.2712062053179952E-2</v>
      </c>
      <c r="P10" s="8">
        <f>N10*0.0610237441</f>
        <v>0.22184308846111769</v>
      </c>
      <c r="Q10" s="40">
        <v>0.31433333333333335</v>
      </c>
    </row>
    <row r="11" spans="1:25" x14ac:dyDescent="0.25">
      <c r="B11" s="20" t="s">
        <v>24</v>
      </c>
      <c r="C11" s="5" t="s">
        <v>13</v>
      </c>
      <c r="D11" s="21" t="s">
        <v>19</v>
      </c>
      <c r="E11" s="32">
        <f>E10*0.49115415223</f>
        <v>0</v>
      </c>
      <c r="F11" s="57">
        <f>F10*0.49115415223</f>
        <v>2.4557707611500001E-2</v>
      </c>
      <c r="M11" s="3"/>
      <c r="N11" s="39"/>
      <c r="O11" s="6"/>
      <c r="P11" s="55"/>
      <c r="Q11" s="6"/>
    </row>
    <row r="12" spans="1:25" x14ac:dyDescent="0.25">
      <c r="A12" s="19"/>
      <c r="B12" s="20" t="s">
        <v>73</v>
      </c>
      <c r="C12" s="5" t="s">
        <v>14</v>
      </c>
      <c r="D12" s="21" t="s">
        <v>72</v>
      </c>
      <c r="E12" s="35"/>
      <c r="F12" s="30">
        <v>0.05</v>
      </c>
    </row>
    <row r="13" spans="1:25" x14ac:dyDescent="0.25">
      <c r="A13" s="22"/>
      <c r="B13" s="23" t="s">
        <v>25</v>
      </c>
      <c r="C13" s="11" t="s">
        <v>14</v>
      </c>
      <c r="D13" s="24" t="s">
        <v>19</v>
      </c>
      <c r="E13" s="33">
        <f>E12*0.49115415223</f>
        <v>0</v>
      </c>
      <c r="F13" s="59">
        <f>F12*0.49115415223</f>
        <v>2.4557707611500001E-2</v>
      </c>
      <c r="M13" s="1" t="s">
        <v>1</v>
      </c>
      <c r="N13" s="1" t="s">
        <v>2</v>
      </c>
      <c r="O13" s="1" t="s">
        <v>80</v>
      </c>
      <c r="P13" s="1" t="s">
        <v>11</v>
      </c>
      <c r="Q13" s="3"/>
    </row>
    <row r="14" spans="1:25" x14ac:dyDescent="0.25">
      <c r="A14" s="16" t="s">
        <v>15</v>
      </c>
      <c r="B14" s="17" t="s">
        <v>26</v>
      </c>
      <c r="C14" s="10" t="s">
        <v>40</v>
      </c>
      <c r="D14" s="18" t="s">
        <v>19</v>
      </c>
      <c r="E14" s="36"/>
      <c r="F14" s="58">
        <v>0.3</v>
      </c>
      <c r="M14" s="9" t="s">
        <v>35</v>
      </c>
      <c r="N14" s="73">
        <v>37.974503714075269</v>
      </c>
      <c r="O14" s="71">
        <v>0.30550489333561426</v>
      </c>
      <c r="P14" s="6">
        <f>N14*0.0610237441</f>
        <v>2.3173463969722286</v>
      </c>
      <c r="Q14" s="3"/>
    </row>
    <row r="15" spans="1:25" x14ac:dyDescent="0.25">
      <c r="A15" s="22"/>
      <c r="B15" s="23" t="s">
        <v>4</v>
      </c>
      <c r="C15" s="15" t="s">
        <v>52</v>
      </c>
      <c r="D15" s="25" t="s">
        <v>19</v>
      </c>
      <c r="E15" s="33">
        <f>(E14/(-3.9865334731E-23*E14^5 + 1.8413900717E-18*E14^4 - 3.5148991187E-14*E14^3 + 1.9567389783E-10*E14^2 + 0.000031122396573*E14^1 + 0.9999793782))-(-14.6959488)</f>
        <v>14.6959488</v>
      </c>
      <c r="F15" s="60">
        <v>0.3</v>
      </c>
      <c r="M15" s="42" t="s">
        <v>81</v>
      </c>
      <c r="N15" s="72">
        <v>9.1322330592335739</v>
      </c>
      <c r="O15" s="70">
        <v>8.1601974989144524E-2</v>
      </c>
      <c r="P15" s="8">
        <f>N15*0.0610237441</f>
        <v>0.5572830532682298</v>
      </c>
      <c r="Q15" s="3"/>
    </row>
    <row r="16" spans="1:25" x14ac:dyDescent="0.25">
      <c r="A16" s="16" t="s">
        <v>8</v>
      </c>
      <c r="B16" s="17" t="s">
        <v>27</v>
      </c>
      <c r="C16" s="10" t="s">
        <v>43</v>
      </c>
      <c r="D16" s="18" t="s">
        <v>19</v>
      </c>
      <c r="E16" s="36"/>
      <c r="F16" s="58">
        <v>0.3</v>
      </c>
      <c r="Q16" s="3"/>
    </row>
    <row r="17" spans="1:17" x14ac:dyDescent="0.25">
      <c r="A17" s="22"/>
      <c r="B17" s="23" t="s">
        <v>28</v>
      </c>
      <c r="C17" s="11" t="s">
        <v>74</v>
      </c>
      <c r="D17" s="24" t="s">
        <v>19</v>
      </c>
      <c r="E17" s="33">
        <f>(E16/(-3.9865334731E-23*E16^5 + 1.8413900717E-18*E16^4 - 3.5148991187E-14*E16^3 + 1.9567389783E-10*E16^2 + 0.000031122396573*E16^1 + 0.9999793782))+E11</f>
        <v>0</v>
      </c>
      <c r="F17" s="61">
        <f>(SQRT(F16^2+F11^2))</f>
        <v>0.30100345679598423</v>
      </c>
    </row>
    <row r="18" spans="1:17" x14ac:dyDescent="0.25">
      <c r="A18" s="44" t="s">
        <v>9</v>
      </c>
      <c r="B18" s="12" t="s">
        <v>3</v>
      </c>
      <c r="C18" s="13" t="s">
        <v>44</v>
      </c>
      <c r="D18" s="14" t="s">
        <v>47</v>
      </c>
      <c r="E18" s="41">
        <f>N15</f>
        <v>9.1322330592335739</v>
      </c>
      <c r="F18" s="62">
        <f>O15</f>
        <v>8.1601974989144524E-2</v>
      </c>
    </row>
    <row r="19" spans="1:17" x14ac:dyDescent="0.25">
      <c r="A19" s="16" t="s">
        <v>10</v>
      </c>
      <c r="B19" s="17" t="s">
        <v>29</v>
      </c>
      <c r="C19" s="10" t="s">
        <v>41</v>
      </c>
      <c r="D19" s="18" t="s">
        <v>19</v>
      </c>
      <c r="E19" s="36"/>
      <c r="F19" s="58">
        <v>0.3</v>
      </c>
    </row>
    <row r="20" spans="1:17" x14ac:dyDescent="0.25">
      <c r="A20" s="22"/>
      <c r="B20" s="23" t="s">
        <v>30</v>
      </c>
      <c r="C20" s="11" t="s">
        <v>42</v>
      </c>
      <c r="D20" s="24" t="s">
        <v>19</v>
      </c>
      <c r="E20" s="33">
        <f>(E19/(-3.9865334731E-23*E19^5 + 1.8413900717E-18*E19^4 - 3.5148991187E-14*E19^3 + 1.9567389783E-10*E19^2 + 0.000031122396573*E19^1 + 0.9999793782))+E13</f>
        <v>0</v>
      </c>
      <c r="F20" s="61">
        <f>(SQRT(F19^2+F13^2))</f>
        <v>0.30100345679598423</v>
      </c>
    </row>
    <row r="21" spans="1:17" x14ac:dyDescent="0.25">
      <c r="A21" s="16" t="s">
        <v>12</v>
      </c>
      <c r="B21" s="17" t="s">
        <v>32</v>
      </c>
      <c r="C21" s="10" t="s">
        <v>45</v>
      </c>
      <c r="D21" s="18" t="s">
        <v>47</v>
      </c>
      <c r="E21" s="34">
        <f>N14</f>
        <v>37.974503714075269</v>
      </c>
      <c r="F21" s="57">
        <f>O14</f>
        <v>0.30550489333561426</v>
      </c>
    </row>
    <row r="22" spans="1:17" x14ac:dyDescent="0.25">
      <c r="A22" s="19"/>
      <c r="B22" s="20" t="s">
        <v>49</v>
      </c>
      <c r="C22" s="5" t="s">
        <v>50</v>
      </c>
      <c r="D22" s="21" t="s">
        <v>78</v>
      </c>
      <c r="E22" s="35"/>
      <c r="F22" s="57">
        <f>SQRT(O8^2+O7^2)</f>
        <v>6.4674773322653353E-2</v>
      </c>
    </row>
    <row r="23" spans="1:17" ht="30" x14ac:dyDescent="0.25">
      <c r="A23" s="26"/>
      <c r="B23" s="20" t="s">
        <v>33</v>
      </c>
      <c r="C23" s="27" t="s">
        <v>38</v>
      </c>
      <c r="D23" s="21" t="s">
        <v>47</v>
      </c>
      <c r="E23" s="32">
        <f>E21-E22</f>
        <v>37.974503714075269</v>
      </c>
      <c r="F23" s="77">
        <f>SQRT(F22^2+F21^2)</f>
        <v>0.31227562529973685</v>
      </c>
    </row>
    <row r="24" spans="1:17" x14ac:dyDescent="0.25">
      <c r="A24" s="16"/>
      <c r="B24" s="17" t="s">
        <v>31</v>
      </c>
      <c r="C24" s="10" t="s">
        <v>46</v>
      </c>
      <c r="D24" s="18" t="s">
        <v>47</v>
      </c>
      <c r="E24" s="31">
        <f>(E20*(E18+E23)-E17*E18-E15*E23)/(E20-E15)</f>
        <v>37.974503714075269</v>
      </c>
      <c r="F24" s="57" t="e">
        <f>Y8</f>
        <v>#DIV/0!</v>
      </c>
    </row>
    <row r="25" spans="1:17" x14ac:dyDescent="0.25">
      <c r="A25" s="4" t="s">
        <v>36</v>
      </c>
      <c r="B25" s="23" t="s">
        <v>51</v>
      </c>
      <c r="C25" s="11" t="s">
        <v>36</v>
      </c>
      <c r="D25" s="28" t="s">
        <v>37</v>
      </c>
      <c r="E25" s="80" t="e">
        <f>1-(E24/E7)</f>
        <v>#DIV/0!</v>
      </c>
      <c r="F25" s="81" t="e">
        <f>(1-E25)*(SQRT((F24/E24)^2+(F7/E7)^2))</f>
        <v>#DIV/0!</v>
      </c>
      <c r="J25" s="29" t="s">
        <v>53</v>
      </c>
    </row>
    <row r="26" spans="1:17" x14ac:dyDescent="0.25">
      <c r="J26" s="30" t="s">
        <v>54</v>
      </c>
    </row>
    <row r="29" spans="1:17" x14ac:dyDescent="0.25">
      <c r="A29" s="43" t="s">
        <v>79</v>
      </c>
    </row>
    <row r="31" spans="1:17" x14ac:dyDescent="0.25">
      <c r="Q31" s="45"/>
    </row>
    <row r="32" spans="1:17" x14ac:dyDescent="0.25">
      <c r="F32" s="54"/>
      <c r="Q32" s="45"/>
    </row>
    <row r="33" spans="6:17" x14ac:dyDescent="0.25">
      <c r="F33" s="50"/>
      <c r="Q33" s="45"/>
    </row>
    <row r="34" spans="6:17" x14ac:dyDescent="0.25">
      <c r="F34" s="51"/>
      <c r="Q34" s="45"/>
    </row>
    <row r="35" spans="6:17" x14ac:dyDescent="0.25">
      <c r="F35" s="52"/>
      <c r="Q35" s="45"/>
    </row>
    <row r="36" spans="6:17" x14ac:dyDescent="0.25">
      <c r="F36" s="53"/>
    </row>
    <row r="37" spans="6:17" x14ac:dyDescent="0.25">
      <c r="F37" s="49"/>
    </row>
    <row r="38" spans="6:17" x14ac:dyDescent="0.25">
      <c r="F38" s="49"/>
    </row>
    <row r="39" spans="6:17" x14ac:dyDescent="0.25">
      <c r="F39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Calculations 1.0"</vt:lpstr>
      <vt:lpstr>Calculations 1.5"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2013-10-09T17:44:18Z</dcterms:modified>
</cp:coreProperties>
</file>