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5600" windowHeight="11760" tabRatio="500" firstSheet="1" activeTab="4"/>
  </bookViews>
  <sheets>
    <sheet name="1.Sea Water" sheetId="2" r:id="rId1"/>
    <sheet name="2.NaCl" sheetId="3" r:id="rId2"/>
    <sheet name="3. NaCl Density fit" sheetId="5" r:id="rId3"/>
    <sheet name="4. SeaWater Density fit" sheetId="6" r:id="rId4"/>
    <sheet name="5. SeaWater Viscosity fit" sheetId="9" r:id="rId5"/>
    <sheet name="X. Amy's NaCl Cal. don't use" sheetId="8" r:id="rId6"/>
    <sheet name="x. Other datasets - dont use" sheetId="4" r:id="rId7"/>
  </sheets>
  <definedNames>
    <definedName name="A">#REF!</definedName>
    <definedName name="B">#REF!</definedName>
    <definedName name="i">#REF!</definedName>
    <definedName name="k">#REF!</definedName>
    <definedName name="Rho">#REF!</definedName>
    <definedName name="S">#REF!</definedName>
    <definedName name="solver_adj" localSheetId="3" hidden="1">'4. SeaWater Density fit'!$M$1:$M$3</definedName>
    <definedName name="solver_adj" localSheetId="4" hidden="1">'5. SeaWater Viscosity fit'!$T$9:$T$11</definedName>
    <definedName name="solver_adj" localSheetId="5" hidden="1">'X. Amy''s NaCl Cal. don''t use'!$I$1:$I$3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pt" localSheetId="3" hidden="1">'4. SeaWater Density fit'!$O$30</definedName>
    <definedName name="solver_opt" localSheetId="4" hidden="1">'5. SeaWater Viscosity fit'!$W$29</definedName>
    <definedName name="solver_opt" localSheetId="5" hidden="1">'X. Amy''s NaCl Cal. don''t use'!$L$39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yp" localSheetId="3" hidden="1">2</definedName>
    <definedName name="solver_typ" localSheetId="4" hidden="1">3</definedName>
    <definedName name="solver_typ" localSheetId="5" hidden="1">3</definedName>
    <definedName name="solver_val" localSheetId="3" hidden="1">0</definedName>
    <definedName name="solver_val" localSheetId="4" hidden="1">0</definedName>
    <definedName name="solver_val" localSheetId="5" hidden="1">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6" i="9"/>
  <c r="T17"/>
  <c r="U17" s="1"/>
  <c r="V17" s="1"/>
  <c r="T18"/>
  <c r="U18" s="1"/>
  <c r="V18" s="1"/>
  <c r="T19"/>
  <c r="U19" s="1"/>
  <c r="V19" s="1"/>
  <c r="T20"/>
  <c r="U20" s="1"/>
  <c r="V20" s="1"/>
  <c r="T21"/>
  <c r="U21" s="1"/>
  <c r="V21" s="1"/>
  <c r="T22"/>
  <c r="U22" s="1"/>
  <c r="V22" s="1"/>
  <c r="T23"/>
  <c r="U23" s="1"/>
  <c r="V23" s="1"/>
  <c r="T24"/>
  <c r="U24" s="1"/>
  <c r="V24" s="1"/>
  <c r="T25"/>
  <c r="U25" s="1"/>
  <c r="W25" s="1"/>
  <c r="T26"/>
  <c r="U26" s="1"/>
  <c r="V26" s="1"/>
  <c r="T27"/>
  <c r="U27" s="1"/>
  <c r="V27" s="1"/>
  <c r="T28"/>
  <c r="U28" s="1"/>
  <c r="V28" s="1"/>
  <c r="T16"/>
  <c r="U16" s="1"/>
  <c r="V16" s="1"/>
  <c r="J17"/>
  <c r="J18"/>
  <c r="J19"/>
  <c r="J20"/>
  <c r="J21"/>
  <c r="J22"/>
  <c r="J23"/>
  <c r="J24"/>
  <c r="J25"/>
  <c r="J26"/>
  <c r="J27"/>
  <c r="J28"/>
  <c r="J16"/>
  <c r="Q16"/>
  <c r="R17"/>
  <c r="R18"/>
  <c r="R19"/>
  <c r="R20"/>
  <c r="R21"/>
  <c r="R22"/>
  <c r="R23"/>
  <c r="R24"/>
  <c r="R25"/>
  <c r="R26"/>
  <c r="R27"/>
  <c r="R28"/>
  <c r="R16"/>
  <c r="N17"/>
  <c r="N18"/>
  <c r="N19"/>
  <c r="N20"/>
  <c r="N21"/>
  <c r="N22"/>
  <c r="N23"/>
  <c r="N24"/>
  <c r="N25"/>
  <c r="N26"/>
  <c r="N27"/>
  <c r="N28"/>
  <c r="N16"/>
  <c r="X17"/>
  <c r="Y17" s="1"/>
  <c r="Z17" s="1"/>
  <c r="X18"/>
  <c r="Y18" s="1"/>
  <c r="X19"/>
  <c r="Y19" s="1"/>
  <c r="X20"/>
  <c r="Y20" s="1"/>
  <c r="X21"/>
  <c r="Y21" s="1"/>
  <c r="AA21" s="1"/>
  <c r="X22"/>
  <c r="Y22" s="1"/>
  <c r="X23"/>
  <c r="Y23" s="1"/>
  <c r="X24"/>
  <c r="Y24" s="1"/>
  <c r="X25"/>
  <c r="Y25" s="1"/>
  <c r="Z25" s="1"/>
  <c r="X26"/>
  <c r="Y26" s="1"/>
  <c r="X27"/>
  <c r="Y27" s="1"/>
  <c r="X28"/>
  <c r="Y28" s="1"/>
  <c r="X16"/>
  <c r="P17"/>
  <c r="P18"/>
  <c r="P19"/>
  <c r="P20"/>
  <c r="P21"/>
  <c r="P22"/>
  <c r="P23"/>
  <c r="P24"/>
  <c r="P25"/>
  <c r="P26"/>
  <c r="P27"/>
  <c r="P28"/>
  <c r="P16"/>
  <c r="Q17"/>
  <c r="Q18"/>
  <c r="Q19"/>
  <c r="Q20"/>
  <c r="Q21"/>
  <c r="Q22"/>
  <c r="Q23"/>
  <c r="Q24"/>
  <c r="Q25"/>
  <c r="Q26"/>
  <c r="Q27"/>
  <c r="Q28"/>
  <c r="S16"/>
  <c r="S17"/>
  <c r="S18"/>
  <c r="S19"/>
  <c r="S20"/>
  <c r="S21"/>
  <c r="S22"/>
  <c r="S23"/>
  <c r="S24"/>
  <c r="S25"/>
  <c r="S26"/>
  <c r="S27"/>
  <c r="S28"/>
  <c r="S29"/>
  <c r="L17"/>
  <c r="M17"/>
  <c r="O17"/>
  <c r="L18"/>
  <c r="M18"/>
  <c r="O18"/>
  <c r="L19"/>
  <c r="M19"/>
  <c r="O19"/>
  <c r="L20"/>
  <c r="M20"/>
  <c r="O20"/>
  <c r="L21"/>
  <c r="M21"/>
  <c r="O21"/>
  <c r="L22"/>
  <c r="M22"/>
  <c r="O22"/>
  <c r="L23"/>
  <c r="M23"/>
  <c r="O23"/>
  <c r="L24"/>
  <c r="M24"/>
  <c r="O24"/>
  <c r="L25"/>
  <c r="M25"/>
  <c r="O25"/>
  <c r="L26"/>
  <c r="M26"/>
  <c r="O26"/>
  <c r="L27"/>
  <c r="M27"/>
  <c r="O27"/>
  <c r="L28"/>
  <c r="M28"/>
  <c r="O28"/>
  <c r="L16"/>
  <c r="M16"/>
  <c r="O16"/>
  <c r="O29"/>
  <c r="M8" i="6"/>
  <c r="N8"/>
  <c r="O8"/>
  <c r="M9"/>
  <c r="N9"/>
  <c r="O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M27"/>
  <c r="N27"/>
  <c r="O27"/>
  <c r="M28"/>
  <c r="N28"/>
  <c r="O28"/>
  <c r="O30"/>
  <c r="I8"/>
  <c r="J8"/>
  <c r="K8"/>
  <c r="L8"/>
  <c r="I9"/>
  <c r="J9"/>
  <c r="K9"/>
  <c r="L9"/>
  <c r="I10"/>
  <c r="J10"/>
  <c r="K10"/>
  <c r="L10"/>
  <c r="I11"/>
  <c r="J11"/>
  <c r="K11"/>
  <c r="L11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28"/>
  <c r="J28"/>
  <c r="K28"/>
  <c r="L28"/>
  <c r="L30"/>
  <c r="H21"/>
  <c r="D10"/>
  <c r="E10"/>
  <c r="F10"/>
  <c r="H10"/>
  <c r="D11"/>
  <c r="E11"/>
  <c r="F11"/>
  <c r="H11"/>
  <c r="D12"/>
  <c r="E12"/>
  <c r="F12"/>
  <c r="H12"/>
  <c r="D13"/>
  <c r="E13"/>
  <c r="F13"/>
  <c r="H13"/>
  <c r="D14"/>
  <c r="E14"/>
  <c r="F14"/>
  <c r="H14"/>
  <c r="D15"/>
  <c r="E15"/>
  <c r="F15"/>
  <c r="H15"/>
  <c r="D16"/>
  <c r="E16"/>
  <c r="F16"/>
  <c r="H16"/>
  <c r="D17"/>
  <c r="E17"/>
  <c r="F17"/>
  <c r="H17"/>
  <c r="D18"/>
  <c r="E18"/>
  <c r="F18"/>
  <c r="H18"/>
  <c r="D19"/>
  <c r="E19"/>
  <c r="F19"/>
  <c r="H19"/>
  <c r="D20"/>
  <c r="E20"/>
  <c r="F20"/>
  <c r="H20"/>
  <c r="D21"/>
  <c r="E21"/>
  <c r="F21"/>
  <c r="D22"/>
  <c r="E22"/>
  <c r="F22"/>
  <c r="H22"/>
  <c r="D23"/>
  <c r="E23"/>
  <c r="F23"/>
  <c r="H23"/>
  <c r="D24"/>
  <c r="E24"/>
  <c r="F24"/>
  <c r="H24"/>
  <c r="D25"/>
  <c r="E25"/>
  <c r="F25"/>
  <c r="H25"/>
  <c r="D26"/>
  <c r="E26"/>
  <c r="F26"/>
  <c r="H26"/>
  <c r="D27"/>
  <c r="E27"/>
  <c r="F27"/>
  <c r="H27"/>
  <c r="D28"/>
  <c r="E28"/>
  <c r="F28"/>
  <c r="H28"/>
  <c r="K31"/>
  <c r="D9"/>
  <c r="E9"/>
  <c r="F9"/>
  <c r="H9"/>
  <c r="D9" i="2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K17" i="9"/>
  <c r="K18"/>
  <c r="K19"/>
  <c r="K20"/>
  <c r="K21"/>
  <c r="K22"/>
  <c r="K23"/>
  <c r="K24"/>
  <c r="K25"/>
  <c r="K26"/>
  <c r="K27"/>
  <c r="K28"/>
  <c r="K16"/>
  <c r="I17"/>
  <c r="I18"/>
  <c r="I19"/>
  <c r="I20"/>
  <c r="I21"/>
  <c r="I22"/>
  <c r="I23"/>
  <c r="I24"/>
  <c r="I25"/>
  <c r="I26"/>
  <c r="I27"/>
  <c r="I28"/>
  <c r="I16"/>
  <c r="G16"/>
  <c r="H16"/>
  <c r="H17"/>
  <c r="H18"/>
  <c r="H19"/>
  <c r="H20"/>
  <c r="H21"/>
  <c r="H22"/>
  <c r="H23"/>
  <c r="H24"/>
  <c r="H25"/>
  <c r="H26"/>
  <c r="H27"/>
  <c r="H28"/>
  <c r="G17"/>
  <c r="G18"/>
  <c r="G19"/>
  <c r="G20"/>
  <c r="G21"/>
  <c r="G22"/>
  <c r="G23"/>
  <c r="G24"/>
  <c r="G25"/>
  <c r="G26"/>
  <c r="G27"/>
  <c r="G28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E30" i="6"/>
  <c r="I30"/>
  <c r="K32"/>
  <c r="J40" i="5"/>
  <c r="J39"/>
  <c r="I8" i="8"/>
  <c r="J8"/>
  <c r="K8"/>
  <c r="L8"/>
  <c r="I9"/>
  <c r="J9"/>
  <c r="K9"/>
  <c r="L9"/>
  <c r="I10"/>
  <c r="J10"/>
  <c r="K10"/>
  <c r="L10"/>
  <c r="I11"/>
  <c r="J11"/>
  <c r="K11"/>
  <c r="L11"/>
  <c r="I12"/>
  <c r="J12"/>
  <c r="K12"/>
  <c r="L12"/>
  <c r="I13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L25"/>
  <c r="I26"/>
  <c r="J26"/>
  <c r="K26"/>
  <c r="L26"/>
  <c r="I27"/>
  <c r="J27"/>
  <c r="K27"/>
  <c r="L27"/>
  <c r="I30"/>
  <c r="J30"/>
  <c r="K30"/>
  <c r="L30"/>
  <c r="I31"/>
  <c r="J31"/>
  <c r="K31"/>
  <c r="L31"/>
  <c r="I32"/>
  <c r="J32"/>
  <c r="K32"/>
  <c r="L32"/>
  <c r="I33"/>
  <c r="J33"/>
  <c r="K33"/>
  <c r="L33"/>
  <c r="I34"/>
  <c r="J34"/>
  <c r="K34"/>
  <c r="L34"/>
  <c r="I35"/>
  <c r="J35"/>
  <c r="K35"/>
  <c r="L35"/>
  <c r="I36"/>
  <c r="J36"/>
  <c r="K36"/>
  <c r="L36"/>
  <c r="I37"/>
  <c r="J37"/>
  <c r="K37"/>
  <c r="L37"/>
  <c r="I38"/>
  <c r="J38"/>
  <c r="K38"/>
  <c r="L38"/>
  <c r="L39"/>
  <c r="M8"/>
  <c r="N8"/>
  <c r="O8"/>
  <c r="M9"/>
  <c r="N9"/>
  <c r="O9"/>
  <c r="M10"/>
  <c r="N10"/>
  <c r="O10"/>
  <c r="M11"/>
  <c r="N11"/>
  <c r="O11"/>
  <c r="M12"/>
  <c r="N12"/>
  <c r="O12"/>
  <c r="M13"/>
  <c r="N13"/>
  <c r="O13"/>
  <c r="M14"/>
  <c r="N14"/>
  <c r="O14"/>
  <c r="M15"/>
  <c r="N15"/>
  <c r="O15"/>
  <c r="M16"/>
  <c r="N16"/>
  <c r="O16"/>
  <c r="M17"/>
  <c r="N17"/>
  <c r="O17"/>
  <c r="M18"/>
  <c r="N18"/>
  <c r="O18"/>
  <c r="M19"/>
  <c r="N19"/>
  <c r="O19"/>
  <c r="M20"/>
  <c r="N20"/>
  <c r="O20"/>
  <c r="M21"/>
  <c r="N21"/>
  <c r="O21"/>
  <c r="M22"/>
  <c r="N22"/>
  <c r="O22"/>
  <c r="M23"/>
  <c r="N23"/>
  <c r="O23"/>
  <c r="M24"/>
  <c r="N24"/>
  <c r="O24"/>
  <c r="M25"/>
  <c r="N25"/>
  <c r="O25"/>
  <c r="M26"/>
  <c r="N26"/>
  <c r="O26"/>
  <c r="M27"/>
  <c r="N27"/>
  <c r="O27"/>
  <c r="M30"/>
  <c r="N30"/>
  <c r="O30"/>
  <c r="M31"/>
  <c r="N31"/>
  <c r="O31"/>
  <c r="M32"/>
  <c r="N32"/>
  <c r="O32"/>
  <c r="M33"/>
  <c r="N33"/>
  <c r="O33"/>
  <c r="M34"/>
  <c r="N34"/>
  <c r="O34"/>
  <c r="M35"/>
  <c r="N35"/>
  <c r="O35"/>
  <c r="M36"/>
  <c r="N36"/>
  <c r="O36"/>
  <c r="M37"/>
  <c r="N37"/>
  <c r="O37"/>
  <c r="M38"/>
  <c r="N38"/>
  <c r="O38"/>
  <c r="O39"/>
  <c r="H38"/>
  <c r="E38"/>
  <c r="F38"/>
  <c r="D38"/>
  <c r="H37"/>
  <c r="E37"/>
  <c r="F37"/>
  <c r="D37"/>
  <c r="H36"/>
  <c r="E36"/>
  <c r="F36"/>
  <c r="D36"/>
  <c r="H35"/>
  <c r="E35"/>
  <c r="F35"/>
  <c r="D35"/>
  <c r="H34"/>
  <c r="E34"/>
  <c r="F34"/>
  <c r="D34"/>
  <c r="H33"/>
  <c r="E33"/>
  <c r="F33"/>
  <c r="D33"/>
  <c r="H32"/>
  <c r="E32"/>
  <c r="F32"/>
  <c r="D32"/>
  <c r="H31"/>
  <c r="E31"/>
  <c r="F31"/>
  <c r="D31"/>
  <c r="H30"/>
  <c r="E30"/>
  <c r="F30"/>
  <c r="D30"/>
  <c r="H27"/>
  <c r="E27"/>
  <c r="F27"/>
  <c r="D27"/>
  <c r="H26"/>
  <c r="E26"/>
  <c r="F26"/>
  <c r="D26"/>
  <c r="H25"/>
  <c r="E25"/>
  <c r="F25"/>
  <c r="D25"/>
  <c r="H24"/>
  <c r="E24"/>
  <c r="F24"/>
  <c r="D24"/>
  <c r="H23"/>
  <c r="E23"/>
  <c r="F23"/>
  <c r="D23"/>
  <c r="H22"/>
  <c r="E22"/>
  <c r="F22"/>
  <c r="D22"/>
  <c r="H21"/>
  <c r="E21"/>
  <c r="F21"/>
  <c r="D21"/>
  <c r="H20"/>
  <c r="E20"/>
  <c r="F20"/>
  <c r="D20"/>
  <c r="H19"/>
  <c r="E19"/>
  <c r="F19"/>
  <c r="D19"/>
  <c r="H18"/>
  <c r="E18"/>
  <c r="F18"/>
  <c r="D18"/>
  <c r="H17"/>
  <c r="E17"/>
  <c r="F17"/>
  <c r="D17"/>
  <c r="H16"/>
  <c r="E16"/>
  <c r="F16"/>
  <c r="D16"/>
  <c r="H15"/>
  <c r="E15"/>
  <c r="F15"/>
  <c r="D15"/>
  <c r="H14"/>
  <c r="E14"/>
  <c r="F14"/>
  <c r="D14"/>
  <c r="H13"/>
  <c r="E13"/>
  <c r="F13"/>
  <c r="D13"/>
  <c r="H12"/>
  <c r="E12"/>
  <c r="F12"/>
  <c r="D12"/>
  <c r="H11"/>
  <c r="E11"/>
  <c r="F11"/>
  <c r="D11"/>
  <c r="H10"/>
  <c r="E10"/>
  <c r="F10"/>
  <c r="D10"/>
  <c r="H9"/>
  <c r="E9"/>
  <c r="F9"/>
  <c r="D9"/>
  <c r="H8"/>
  <c r="E8"/>
  <c r="F8"/>
  <c r="D8"/>
  <c r="H8" i="6"/>
  <c r="E8"/>
  <c r="F8"/>
  <c r="D8"/>
  <c r="K38" i="5"/>
  <c r="L38"/>
  <c r="H38"/>
  <c r="I38"/>
  <c r="J38"/>
  <c r="G38"/>
  <c r="D38"/>
  <c r="E38"/>
  <c r="K37"/>
  <c r="L37"/>
  <c r="H37"/>
  <c r="I37"/>
  <c r="J37"/>
  <c r="G37"/>
  <c r="D37"/>
  <c r="E37"/>
  <c r="K36"/>
  <c r="L36"/>
  <c r="H36"/>
  <c r="I36"/>
  <c r="J36"/>
  <c r="G36"/>
  <c r="D36"/>
  <c r="E36"/>
  <c r="K35"/>
  <c r="L35"/>
  <c r="H35"/>
  <c r="I35"/>
  <c r="J35"/>
  <c r="G35"/>
  <c r="D35"/>
  <c r="E35"/>
  <c r="K34"/>
  <c r="L34"/>
  <c r="H34"/>
  <c r="I34"/>
  <c r="J34"/>
  <c r="G34"/>
  <c r="D34"/>
  <c r="E34"/>
  <c r="K33"/>
  <c r="L33"/>
  <c r="H33"/>
  <c r="I33"/>
  <c r="J33"/>
  <c r="G33"/>
  <c r="D33"/>
  <c r="E33"/>
  <c r="K32"/>
  <c r="L32"/>
  <c r="H32"/>
  <c r="I32"/>
  <c r="J32"/>
  <c r="G32"/>
  <c r="D32"/>
  <c r="E32"/>
  <c r="K31"/>
  <c r="L31"/>
  <c r="H31"/>
  <c r="I31"/>
  <c r="J31"/>
  <c r="G31"/>
  <c r="D31"/>
  <c r="E31"/>
  <c r="K30"/>
  <c r="L30"/>
  <c r="H30"/>
  <c r="I30"/>
  <c r="J30"/>
  <c r="G30"/>
  <c r="D30"/>
  <c r="E30"/>
  <c r="K27"/>
  <c r="L27"/>
  <c r="H27"/>
  <c r="I27"/>
  <c r="J27"/>
  <c r="G27"/>
  <c r="D27"/>
  <c r="E27"/>
  <c r="K26"/>
  <c r="L26"/>
  <c r="H26"/>
  <c r="I26"/>
  <c r="J26"/>
  <c r="G26"/>
  <c r="D26"/>
  <c r="E26"/>
  <c r="K25"/>
  <c r="L25"/>
  <c r="H25"/>
  <c r="I25"/>
  <c r="J25"/>
  <c r="G25"/>
  <c r="D25"/>
  <c r="E25"/>
  <c r="K24"/>
  <c r="L24"/>
  <c r="H24"/>
  <c r="I24"/>
  <c r="J24"/>
  <c r="G24"/>
  <c r="D24"/>
  <c r="E24"/>
  <c r="K23"/>
  <c r="L23"/>
  <c r="H23"/>
  <c r="I23"/>
  <c r="J23"/>
  <c r="G23"/>
  <c r="D23"/>
  <c r="E23"/>
  <c r="K22"/>
  <c r="L22"/>
  <c r="H22"/>
  <c r="I22"/>
  <c r="J22"/>
  <c r="G22"/>
  <c r="D22"/>
  <c r="E22"/>
  <c r="K21"/>
  <c r="L21"/>
  <c r="H21"/>
  <c r="I21"/>
  <c r="J21"/>
  <c r="G21"/>
  <c r="D21"/>
  <c r="E21"/>
  <c r="K20"/>
  <c r="L20"/>
  <c r="H20"/>
  <c r="I20"/>
  <c r="J20"/>
  <c r="G20"/>
  <c r="D20"/>
  <c r="E20"/>
  <c r="K19"/>
  <c r="L19"/>
  <c r="H19"/>
  <c r="I19"/>
  <c r="J19"/>
  <c r="G19"/>
  <c r="D19"/>
  <c r="E19"/>
  <c r="K18"/>
  <c r="L18"/>
  <c r="H18"/>
  <c r="I18"/>
  <c r="J18"/>
  <c r="G18"/>
  <c r="D18"/>
  <c r="E18"/>
  <c r="K17"/>
  <c r="L17"/>
  <c r="H17"/>
  <c r="I17"/>
  <c r="J17"/>
  <c r="G17"/>
  <c r="D17"/>
  <c r="E17"/>
  <c r="K16"/>
  <c r="L16"/>
  <c r="H16"/>
  <c r="I16"/>
  <c r="J16"/>
  <c r="G16"/>
  <c r="D16"/>
  <c r="E16"/>
  <c r="K15"/>
  <c r="L15"/>
  <c r="H15"/>
  <c r="I15"/>
  <c r="J15"/>
  <c r="G15"/>
  <c r="D15"/>
  <c r="E15"/>
  <c r="K14"/>
  <c r="L14"/>
  <c r="H14"/>
  <c r="I14"/>
  <c r="J14"/>
  <c r="G14"/>
  <c r="D14"/>
  <c r="E14"/>
  <c r="K13"/>
  <c r="L13"/>
  <c r="H13"/>
  <c r="I13"/>
  <c r="J13"/>
  <c r="G13"/>
  <c r="D13"/>
  <c r="E13"/>
  <c r="K12"/>
  <c r="L12"/>
  <c r="H12"/>
  <c r="I12"/>
  <c r="J12"/>
  <c r="G12"/>
  <c r="D12"/>
  <c r="E12"/>
  <c r="K11"/>
  <c r="L11"/>
  <c r="H11"/>
  <c r="I11"/>
  <c r="J11"/>
  <c r="G11"/>
  <c r="D11"/>
  <c r="E11"/>
  <c r="K10"/>
  <c r="L10"/>
  <c r="H10"/>
  <c r="I10"/>
  <c r="J10"/>
  <c r="G10"/>
  <c r="D10"/>
  <c r="E10"/>
  <c r="K9"/>
  <c r="L9"/>
  <c r="H9"/>
  <c r="I9"/>
  <c r="J9"/>
  <c r="G9"/>
  <c r="D9"/>
  <c r="E9"/>
  <c r="K8"/>
  <c r="L8"/>
  <c r="H8"/>
  <c r="I8"/>
  <c r="J8"/>
  <c r="G8"/>
  <c r="D8"/>
  <c r="E8"/>
  <c r="D85" i="2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B47"/>
  <c r="B62"/>
  <c r="D62"/>
  <c r="C62"/>
  <c r="B61"/>
  <c r="D61"/>
  <c r="C61"/>
  <c r="B60"/>
  <c r="D60"/>
  <c r="C60"/>
  <c r="B59"/>
  <c r="D59"/>
  <c r="C59"/>
  <c r="B58"/>
  <c r="D58"/>
  <c r="C58"/>
  <c r="B57"/>
  <c r="D57"/>
  <c r="C57"/>
  <c r="B56"/>
  <c r="D56"/>
  <c r="C56"/>
  <c r="B55"/>
  <c r="D55"/>
  <c r="C55"/>
  <c r="B54"/>
  <c r="D54"/>
  <c r="C54"/>
  <c r="B53"/>
  <c r="D53"/>
  <c r="C53"/>
  <c r="B52"/>
  <c r="D52"/>
  <c r="C52"/>
  <c r="B51"/>
  <c r="D51"/>
  <c r="C51"/>
  <c r="G113" i="4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C85"/>
  <c r="J85"/>
  <c r="K85"/>
  <c r="C86"/>
  <c r="J86"/>
  <c r="K86"/>
  <c r="C87"/>
  <c r="J87"/>
  <c r="K87"/>
  <c r="C88"/>
  <c r="J88"/>
  <c r="K88"/>
  <c r="C89"/>
  <c r="J89"/>
  <c r="K89"/>
  <c r="J90"/>
  <c r="K90"/>
  <c r="J91"/>
  <c r="K91"/>
  <c r="J92"/>
  <c r="K92"/>
  <c r="J93"/>
  <c r="K93"/>
  <c r="J94"/>
  <c r="K94"/>
  <c r="J95"/>
  <c r="K95"/>
  <c r="J96"/>
  <c r="K96"/>
  <c r="G58"/>
  <c r="H58"/>
  <c r="G57"/>
  <c r="H57"/>
  <c r="G56"/>
  <c r="H56"/>
  <c r="G55"/>
  <c r="H55"/>
  <c r="G54"/>
  <c r="H54"/>
  <c r="G53"/>
  <c r="H53"/>
  <c r="G52"/>
  <c r="H52"/>
  <c r="G51"/>
  <c r="H51"/>
  <c r="C51"/>
  <c r="G50"/>
  <c r="H50"/>
  <c r="C50"/>
  <c r="G49"/>
  <c r="H49"/>
  <c r="C49"/>
  <c r="G48"/>
  <c r="H48"/>
  <c r="C48"/>
  <c r="G47"/>
  <c r="H47"/>
  <c r="C47"/>
  <c r="B12"/>
  <c r="B13"/>
  <c r="B27"/>
  <c r="C27"/>
  <c r="B26"/>
  <c r="C26"/>
  <c r="B25"/>
  <c r="C25"/>
  <c r="B24"/>
  <c r="C24"/>
  <c r="G23"/>
  <c r="H23"/>
  <c r="B23"/>
  <c r="C23"/>
  <c r="G22"/>
  <c r="H22"/>
  <c r="B22"/>
  <c r="C22"/>
  <c r="G21"/>
  <c r="H21"/>
  <c r="B21"/>
  <c r="C21"/>
  <c r="G20"/>
  <c r="H20"/>
  <c r="B20"/>
  <c r="C20"/>
  <c r="G19"/>
  <c r="H19"/>
  <c r="B19"/>
  <c r="C19"/>
  <c r="G18"/>
  <c r="H18"/>
  <c r="B18"/>
  <c r="C18"/>
  <c r="G17"/>
  <c r="H17"/>
  <c r="B17"/>
  <c r="C17"/>
  <c r="G16"/>
  <c r="H16"/>
  <c r="B16"/>
  <c r="C16"/>
  <c r="G15"/>
  <c r="H15"/>
  <c r="G14"/>
  <c r="H14"/>
  <c r="G13"/>
  <c r="H13"/>
  <c r="G12"/>
  <c r="H12"/>
  <c r="D38" i="2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8"/>
  <c r="C8"/>
  <c r="V25" i="9" l="1"/>
  <c r="W26"/>
  <c r="W27"/>
  <c r="W28"/>
  <c r="W19"/>
  <c r="W22"/>
  <c r="W16"/>
  <c r="W20"/>
  <c r="W24"/>
  <c r="W23"/>
  <c r="W18"/>
  <c r="W17"/>
  <c r="W21"/>
  <c r="Z16"/>
  <c r="AA16"/>
  <c r="Z26"/>
  <c r="AA26"/>
  <c r="Z18"/>
  <c r="AA18"/>
  <c r="Z28"/>
  <c r="AA28"/>
  <c r="AA24"/>
  <c r="Z24"/>
  <c r="Z20"/>
  <c r="AA20"/>
  <c r="Z22"/>
  <c r="AA22"/>
  <c r="Z27"/>
  <c r="AA27"/>
  <c r="AA23"/>
  <c r="Z23"/>
  <c r="AA19"/>
  <c r="Z19"/>
  <c r="Z21"/>
  <c r="AA25"/>
  <c r="AA17"/>
  <c r="W29" l="1"/>
  <c r="AA29"/>
</calcChain>
</file>

<file path=xl/sharedStrings.xml><?xml version="1.0" encoding="utf-8"?>
<sst xmlns="http://schemas.openxmlformats.org/spreadsheetml/2006/main" count="339" uniqueCount="130">
  <si>
    <t>g/cm3</t>
  </si>
  <si>
    <t>g/L</t>
  </si>
  <si>
    <t>rho of fluid (g/cm3)</t>
  </si>
  <si>
    <t>Salt Conc (g/L)</t>
  </si>
  <si>
    <t>Density of SW (g/cm3)</t>
  </si>
  <si>
    <t>ALL AT 20ºC</t>
  </si>
  <si>
    <t>Mass of Water (g)</t>
  </si>
  <si>
    <t>At 20ºC</t>
  </si>
  <si>
    <t>http://www.csgnetwork.com/h2odenscalc.html</t>
  </si>
  <si>
    <t>dens = sw_smow(T) + (b0 + (b1 + (b2 + (b3 + b4*T).*T).*T).*T).*S  + (c0 + (c1 + c2*T).*T).*S.*sqrt(S) + d0*S.^2;</t>
  </si>
  <si>
    <t>b0 =  8.24493e-1</t>
  </si>
  <si>
    <t>b1 = -4.0899e-3</t>
  </si>
  <si>
    <t>b2 =  7.6438e-5</t>
  </si>
  <si>
    <t>b3 = -8.2467e-7</t>
  </si>
  <si>
    <t>b4 =  5.3875e-9</t>
  </si>
  <si>
    <t>c0 = -5.72466e-3</t>
  </si>
  <si>
    <t>c1 = +1.0227e-4</t>
  </si>
  <si>
    <t>c2 = -1.6546e-6</t>
  </si>
  <si>
    <t>d0 = 4.8314e-4</t>
  </si>
  <si>
    <t>http://www.math.nyu.edu/caos_teaching/physical_oceanography/numerical_exercises/sea_water/sea_water.html</t>
  </si>
  <si>
    <t>Water density as function of temperature and concentration</t>
  </si>
  <si>
    <t xml:space="preserve">McCutcheon, S.C., Martin, J.L, Barnwell, T.O. Jr. 1993. Water </t>
  </si>
  <si>
    <t xml:space="preserve">Quality in Maidment, D.R. (Editor). Handbood of Hydrology, </t>
  </si>
  <si>
    <t>McGraw-Hill, New York, NY (p. 11.3 )</t>
  </si>
  <si>
    <t>kg/m3</t>
  </si>
  <si>
    <t>Salinity (g/kg)</t>
  </si>
  <si>
    <t>The density of seawater as a function of salinity (5 to 70 g kg␣1) and temperature (0 to 90_x000E_C)</t>
  </si>
  <si>
    <t>F. J. Millero and F. Huang</t>
  </si>
  <si>
    <t>Meas (kg/m3)</t>
  </si>
  <si>
    <t>**Not certain about this source….</t>
  </si>
  <si>
    <t>Gill, Properties of Seawater, Appendix</t>
  </si>
  <si>
    <t>Temp ºC:</t>
  </si>
  <si>
    <t>Density water:</t>
  </si>
  <si>
    <t>SW density (kg/m3)</t>
  </si>
  <si>
    <t>Salinity (g/l)</t>
  </si>
  <si>
    <t>These are calculated using equations of state, taking into acount temp and salinity. Density was based on S=0-42…so maybe not enough</t>
  </si>
  <si>
    <t>An Equation of State for Hypersaline Water in Great Salt Lake, Utah, USA</t>
  </si>
  <si>
    <t>David L. Naftz • Frank J. Millero • Blair F. Jones • W. Reed Green</t>
  </si>
  <si>
    <t>Salinity ranges from 23-182g/L. Based on equations of state</t>
  </si>
  <si>
    <t>Temp in Kalvin:</t>
  </si>
  <si>
    <t>MIT Source:  http://web.mit.edu/seawater/</t>
  </si>
  <si>
    <t>***Salinity is described in PSU or Practical Salinity Scale (PSS) [the conductivity ratio of a sea water sample to a standard KCl solution]</t>
  </si>
  <si>
    <t>psu</t>
  </si>
  <si>
    <t>SEAWATER</t>
  </si>
  <si>
    <t>#1 : MIT Source</t>
  </si>
  <si>
    <t>Salinity</t>
  </si>
  <si>
    <t>rho of fluid</t>
  </si>
  <si>
    <t>g/kg</t>
  </si>
  <si>
    <t>SW density</t>
  </si>
  <si>
    <t>* The source assumes ppm = g/L (this is wrong, discount value of source)</t>
  </si>
  <si>
    <t>Germaine and Germaine, 2009</t>
  </si>
  <si>
    <t>(g/cm3)</t>
  </si>
  <si>
    <t>#1: Hypersaline inland lake water</t>
  </si>
  <si>
    <t>#2: Seawater, uncertain source</t>
  </si>
  <si>
    <t>#3: Seawater online calculator</t>
  </si>
  <si>
    <t>Online Calculator that takes into account Temp and Salinity</t>
  </si>
  <si>
    <t>#4 Seawater From MATLAB scripts</t>
  </si>
  <si>
    <t>#2 - Calculated equations of state</t>
  </si>
  <si>
    <t>ppt</t>
  </si>
  <si>
    <t>SW Density</t>
  </si>
  <si>
    <t>g</t>
  </si>
  <si>
    <t>#3: Handbook of Hydrology</t>
  </si>
  <si>
    <t>#3: From Dr.G's book</t>
  </si>
  <si>
    <t>From 1.37 notes</t>
  </si>
  <si>
    <t>salt conc.</t>
  </si>
  <si>
    <t>from table</t>
  </si>
  <si>
    <t>Concentrative properties of aqueous solutions: conversion tables</t>
  </si>
  <si>
    <t>(g/l)</t>
  </si>
  <si>
    <t>(g/cc)</t>
  </si>
  <si>
    <t>Wolf, Brown and Prentiss</t>
  </si>
  <si>
    <t>from CRC (1994)</t>
  </si>
  <si>
    <t>Molality</t>
  </si>
  <si>
    <t>mole mass/kg of solute*</t>
  </si>
  <si>
    <t>#1: From 1.37 Notes</t>
  </si>
  <si>
    <t>#2: From CRC Handbook</t>
  </si>
  <si>
    <t>Mole mass / kg solute</t>
  </si>
  <si>
    <t>Other data sets Jana found for the density of saline waters</t>
  </si>
  <si>
    <t>These are for other types of salt, or use incorrect units, or are from questionable sources</t>
  </si>
  <si>
    <t>NaCl Sodium Chloride</t>
  </si>
  <si>
    <t>Fit Salt Density</t>
  </si>
  <si>
    <t>Fit Fluid Density</t>
  </si>
  <si>
    <t>Density of salt=&gt;</t>
  </si>
  <si>
    <t>Vary salt density to inprove prediction</t>
  </si>
  <si>
    <t xml:space="preserve">Fit fluid density </t>
  </si>
  <si>
    <t xml:space="preserve">Fluid Density </t>
  </si>
  <si>
    <t xml:space="preserve">Salt Denisty </t>
  </si>
  <si>
    <t>Fluid Density</t>
  </si>
  <si>
    <t>computed</t>
  </si>
  <si>
    <t>Error</t>
  </si>
  <si>
    <t>hand fit</t>
  </si>
  <si>
    <t>Computed</t>
  </si>
  <si>
    <t>Poly fit</t>
  </si>
  <si>
    <t xml:space="preserve">Error </t>
  </si>
  <si>
    <t>Amy's calc over range</t>
  </si>
  <si>
    <t>*1 mole NaCl added to 1,000 g of water in this case.</t>
  </si>
  <si>
    <t>all at 20 c temp</t>
  </si>
  <si>
    <t>1 mole NaCl =&gt;</t>
  </si>
  <si>
    <t>Sea Water</t>
  </si>
  <si>
    <t>Error ^2</t>
  </si>
  <si>
    <t>Square error</t>
  </si>
  <si>
    <t>Dr. G</t>
  </si>
  <si>
    <t>max</t>
  </si>
  <si>
    <t>min</t>
  </si>
  <si>
    <t xml:space="preserve">Source: </t>
  </si>
  <si>
    <t xml:space="preserve">Mostafa H. Sharqawy, John H. Lienhard V and Syed M. Zubair, Thermophysical Properties of Seawater: A Review of Existing Correlations and Data, Desalination and </t>
  </si>
  <si>
    <t>Water Treatment, 2010</t>
  </si>
  <si>
    <t>Need Dynamic Viscosity to convert Hydraulic Conductivity to Permeability</t>
  </si>
  <si>
    <t>kg/ms</t>
  </si>
  <si>
    <t>g/cms</t>
  </si>
  <si>
    <t>Dynamic Viscosity vs. Temperature (Celcius)</t>
  </si>
  <si>
    <t>Interpolate</t>
  </si>
  <si>
    <t>using Excel Solver</t>
  </si>
  <si>
    <t xml:space="preserve">Final Equation for salt density in g/cc (NOT salt water density!) as a function of salinity in g/L: </t>
  </si>
  <si>
    <t>Measured</t>
  </si>
  <si>
    <t>Fitting Functions</t>
  </si>
  <si>
    <t>Sum</t>
  </si>
  <si>
    <t>a</t>
  </si>
  <si>
    <t>b</t>
  </si>
  <si>
    <t>c</t>
  </si>
  <si>
    <t>form of the equation:</t>
  </si>
  <si>
    <t>Viscosity (g/cm s) = a*salinity * salinity + b * salinity + c</t>
  </si>
  <si>
    <t>c = salinity in g/L</t>
  </si>
  <si>
    <t>v = dynamic viscosity in g/cm s</t>
  </si>
  <si>
    <t>Sea Water Viscosity Equations</t>
  </si>
  <si>
    <t>Temp = 20 deg C:</t>
  </si>
  <si>
    <t>Temp = 24 deg C:</t>
  </si>
  <si>
    <t>Temp = 26 deg C:</t>
  </si>
  <si>
    <t>fit by: Excel solver and then hand tweaking of a, b and c parameters to significantly minimize error</t>
  </si>
  <si>
    <t>Error %</t>
  </si>
  <si>
    <t>Temp = 25.3 deg C:</t>
  </si>
</sst>
</file>

<file path=xl/styles.xml><?xml version="1.0" encoding="utf-8"?>
<styleSheet xmlns="http://schemas.openxmlformats.org/spreadsheetml/2006/main">
  <numFmts count="5">
    <numFmt numFmtId="164" formatCode="0.000000"/>
    <numFmt numFmtId="165" formatCode="0.0"/>
    <numFmt numFmtId="166" formatCode="0.0000"/>
    <numFmt numFmtId="167" formatCode="0.000"/>
    <numFmt numFmtId="168" formatCode="0.00000"/>
  </numFmts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2" fillId="0" borderId="0"/>
    <xf numFmtId="9" fontId="8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5" fillId="0" borderId="0" xfId="0" applyFont="1"/>
    <xf numFmtId="0" fontId="0" fillId="0" borderId="0" xfId="0" applyBorder="1"/>
    <xf numFmtId="0" fontId="0" fillId="0" borderId="0" xfId="0" applyFill="1" applyBorder="1"/>
    <xf numFmtId="0" fontId="0" fillId="2" borderId="1" xfId="0" applyFill="1" applyBorder="1"/>
    <xf numFmtId="164" fontId="0" fillId="2" borderId="1" xfId="0" applyNumberFormat="1" applyFill="1" applyBorder="1"/>
    <xf numFmtId="2" fontId="0" fillId="2" borderId="1" xfId="0" applyNumberFormat="1" applyFill="1" applyBorder="1"/>
    <xf numFmtId="0" fontId="0" fillId="3" borderId="0" xfId="0" applyFill="1"/>
    <xf numFmtId="0" fontId="0" fillId="0" borderId="0" xfId="0" applyFill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61"/>
    <xf numFmtId="0" fontId="7" fillId="0" borderId="0" xfId="61" applyFont="1"/>
    <xf numFmtId="0" fontId="7" fillId="0" borderId="0" xfId="61" applyFont="1" applyAlignment="1">
      <alignment horizontal="center"/>
    </xf>
    <xf numFmtId="164" fontId="7" fillId="0" borderId="0" xfId="61" applyNumberFormat="1"/>
    <xf numFmtId="2" fontId="7" fillId="0" borderId="0" xfId="61" applyNumberFormat="1"/>
    <xf numFmtId="0" fontId="7" fillId="0" borderId="1" xfId="61" applyBorder="1"/>
    <xf numFmtId="0" fontId="7" fillId="0" borderId="1" xfId="61" applyBorder="1" applyAlignment="1">
      <alignment horizontal="center"/>
    </xf>
    <xf numFmtId="164" fontId="7" fillId="0" borderId="1" xfId="61" applyNumberFormat="1" applyBorder="1" applyAlignment="1">
      <alignment horizontal="center"/>
    </xf>
    <xf numFmtId="2" fontId="7" fillId="0" borderId="1" xfId="61" applyNumberFormat="1" applyBorder="1"/>
    <xf numFmtId="167" fontId="0" fillId="0" borderId="1" xfId="0" applyNumberFormat="1" applyBorder="1" applyAlignment="1">
      <alignment horizontal="center"/>
    </xf>
    <xf numFmtId="0" fontId="0" fillId="4" borderId="0" xfId="0" applyFill="1"/>
    <xf numFmtId="0" fontId="7" fillId="3" borderId="0" xfId="61" applyFont="1" applyFill="1"/>
    <xf numFmtId="0" fontId="7" fillId="3" borderId="0" xfId="61" applyFill="1"/>
    <xf numFmtId="0" fontId="7" fillId="3" borderId="0" xfId="61" applyFill="1" applyAlignment="1">
      <alignment horizontal="right"/>
    </xf>
    <xf numFmtId="11" fontId="7" fillId="3" borderId="0" xfId="61" applyNumberFormat="1" applyFill="1"/>
    <xf numFmtId="0" fontId="7" fillId="0" borderId="0" xfId="61" applyAlignment="1">
      <alignment horizontal="right"/>
    </xf>
    <xf numFmtId="0" fontId="7" fillId="0" borderId="0" xfId="61" applyFont="1" applyAlignment="1">
      <alignment horizontal="right"/>
    </xf>
    <xf numFmtId="0" fontId="7" fillId="7" borderId="0" xfId="61" applyFont="1" applyFill="1" applyAlignment="1">
      <alignment horizontal="centerContinuous"/>
    </xf>
    <xf numFmtId="164" fontId="7" fillId="0" borderId="0" xfId="61" applyNumberFormat="1" applyBorder="1"/>
    <xf numFmtId="167" fontId="7" fillId="0" borderId="0" xfId="61" applyNumberFormat="1"/>
    <xf numFmtId="164" fontId="7" fillId="0" borderId="0" xfId="61" applyNumberFormat="1" applyFill="1" applyBorder="1"/>
    <xf numFmtId="164" fontId="7" fillId="0" borderId="0" xfId="61" applyNumberFormat="1" applyFont="1"/>
    <xf numFmtId="11" fontId="7" fillId="0" borderId="0" xfId="61" applyNumberFormat="1"/>
    <xf numFmtId="0" fontId="7" fillId="5" borderId="0" xfId="61" applyFont="1" applyFill="1" applyAlignment="1">
      <alignment horizontal="center"/>
    </xf>
    <xf numFmtId="0" fontId="7" fillId="6" borderId="0" xfId="61" applyFont="1" applyFill="1" applyAlignment="1">
      <alignment horizontal="center"/>
    </xf>
    <xf numFmtId="0" fontId="7" fillId="8" borderId="0" xfId="61" applyFont="1" applyFill="1" applyAlignment="1">
      <alignment horizontal="center"/>
    </xf>
    <xf numFmtId="0" fontId="7" fillId="9" borderId="0" xfId="61" applyFont="1" applyFill="1" applyAlignment="1">
      <alignment horizontal="center"/>
    </xf>
    <xf numFmtId="0" fontId="2" fillId="0" borderId="0" xfId="62"/>
    <xf numFmtId="166" fontId="7" fillId="0" borderId="0" xfId="61" applyNumberFormat="1" applyBorder="1"/>
    <xf numFmtId="0" fontId="1" fillId="0" borderId="0" xfId="62" applyFont="1"/>
    <xf numFmtId="11" fontId="0" fillId="0" borderId="0" xfId="0" applyNumberFormat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61" applyFill="1" applyAlignment="1">
      <alignment horizontal="right"/>
    </xf>
    <xf numFmtId="11" fontId="7" fillId="0" borderId="0" xfId="61" applyNumberFormat="1" applyFill="1"/>
    <xf numFmtId="0" fontId="7" fillId="0" borderId="0" xfId="61" applyFill="1"/>
    <xf numFmtId="168" fontId="0" fillId="0" borderId="1" xfId="0" applyNumberFormat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6" fontId="0" fillId="0" borderId="0" xfId="0" applyNumberFormat="1"/>
    <xf numFmtId="0" fontId="8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9" fontId="0" fillId="0" borderId="1" xfId="63" applyFont="1" applyBorder="1" applyAlignment="1">
      <alignment horizontal="center"/>
    </xf>
    <xf numFmtId="0" fontId="7" fillId="5" borderId="0" xfId="61" applyFont="1" applyFill="1" applyAlignment="1">
      <alignment horizontal="center"/>
    </xf>
    <xf numFmtId="0" fontId="7" fillId="6" borderId="0" xfId="61" applyFont="1" applyFill="1" applyAlignment="1">
      <alignment horizontal="center"/>
    </xf>
    <xf numFmtId="0" fontId="7" fillId="8" borderId="0" xfId="61" applyFont="1" applyFill="1" applyAlignment="1">
      <alignment horizontal="center"/>
    </xf>
    <xf numFmtId="0" fontId="7" fillId="9" borderId="0" xfId="6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6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  <cellStyle name="Normal 2" xfId="61"/>
    <cellStyle name="Normal 3" xfId="62"/>
    <cellStyle name="Percent" xfId="6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8750000000000044"/>
          <c:y val="4.8611111111111112E-2"/>
          <c:w val="0.58958333333333257"/>
          <c:h val="0.71527777777777779"/>
        </c:manualLayout>
      </c:layout>
      <c:scatterChart>
        <c:scatterStyle val="lineMarker"/>
        <c:ser>
          <c:idx val="0"/>
          <c:order val="0"/>
          <c:tx>
            <c:v>3.35 salt density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'3. NaCl Density fit'!$B$8:$B$38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10.1</c:v>
                </c:pt>
                <c:pt idx="11">
                  <c:v>12.1</c:v>
                </c:pt>
                <c:pt idx="12">
                  <c:v>14.1</c:v>
                </c:pt>
                <c:pt idx="13">
                  <c:v>16.2</c:v>
                </c:pt>
                <c:pt idx="14">
                  <c:v>18.2</c:v>
                </c:pt>
                <c:pt idx="15">
                  <c:v>20.2</c:v>
                </c:pt>
                <c:pt idx="16">
                  <c:v>24.4</c:v>
                </c:pt>
                <c:pt idx="17">
                  <c:v>28.5</c:v>
                </c:pt>
                <c:pt idx="18">
                  <c:v>30.6</c:v>
                </c:pt>
                <c:pt idx="19">
                  <c:v>32.700000000000003</c:v>
                </c:pt>
                <c:pt idx="22" formatCode="0.00">
                  <c:v>5.8239069892807507</c:v>
                </c:pt>
                <c:pt idx="23" formatCode="0.00">
                  <c:v>14.522130219990506</c:v>
                </c:pt>
                <c:pt idx="24" formatCode="0.00">
                  <c:v>28.915743908557047</c:v>
                </c:pt>
                <c:pt idx="25" formatCode="0.00">
                  <c:v>43.176740486694293</c:v>
                </c:pt>
                <c:pt idx="26" formatCode="0.00">
                  <c:v>57.302347198931358</c:v>
                </c:pt>
                <c:pt idx="27" formatCode="0.00">
                  <c:v>112.41556815521912</c:v>
                </c:pt>
                <c:pt idx="28" formatCode="0.00">
                  <c:v>165.27107321101136</c:v>
                </c:pt>
                <c:pt idx="29" formatCode="0.00">
                  <c:v>215.88457823850413</c:v>
                </c:pt>
                <c:pt idx="30" formatCode="0.00">
                  <c:v>264.32984326652041</c:v>
                </c:pt>
              </c:numCache>
            </c:numRef>
          </c:xVal>
          <c:yVal>
            <c:numRef>
              <c:f>'3. NaCl Density fit'!$E$8:$E$38</c:f>
              <c:numCache>
                <c:formatCode>0.000000</c:formatCode>
                <c:ptCount val="31"/>
                <c:pt idx="0">
                  <c:v>0</c:v>
                </c:pt>
                <c:pt idx="1">
                  <c:v>-8.3279701492688929E-6</c:v>
                </c:pt>
                <c:pt idx="2">
                  <c:v>8.964405970157685E-5</c:v>
                </c:pt>
                <c:pt idx="3">
                  <c:v>8.7616089552211562E-5</c:v>
                </c:pt>
                <c:pt idx="4">
                  <c:v>8.5588119403068319E-5</c:v>
                </c:pt>
                <c:pt idx="5">
                  <c:v>8.3560149253703031E-5</c:v>
                </c:pt>
                <c:pt idx="6">
                  <c:v>8.1532179104337743E-5</c:v>
                </c:pt>
                <c:pt idx="7">
                  <c:v>7.9504208955416544E-5</c:v>
                </c:pt>
                <c:pt idx="8">
                  <c:v>7.7476238806051256E-5</c:v>
                </c:pt>
                <c:pt idx="9">
                  <c:v>7.5448268656685968E-5</c:v>
                </c:pt>
                <c:pt idx="10">
                  <c:v>3.2175014925694967E-6</c:v>
                </c:pt>
                <c:pt idx="11">
                  <c:v>9.9161561194049952E-5</c:v>
                </c:pt>
                <c:pt idx="12">
                  <c:v>9.5105620895541421E-5</c:v>
                </c:pt>
                <c:pt idx="13">
                  <c:v>2.0846883582059661E-5</c:v>
                </c:pt>
                <c:pt idx="14">
                  <c:v>1.679094328355113E-5</c:v>
                </c:pt>
                <c:pt idx="15">
                  <c:v>1.1273500298503158E-4</c:v>
                </c:pt>
                <c:pt idx="16">
                  <c:v>-3.578247164170989E-5</c:v>
                </c:pt>
                <c:pt idx="17">
                  <c:v>-1.4097149253711194E-5</c:v>
                </c:pt>
                <c:pt idx="18">
                  <c:v>-8.8355886567192954E-5</c:v>
                </c:pt>
                <c:pt idx="19">
                  <c:v>-6.2614623880685727E-5</c:v>
                </c:pt>
                <c:pt idx="22">
                  <c:v>9.083231141104875E-5</c:v>
                </c:pt>
                <c:pt idx="23">
                  <c:v>1.0652996030469097E-4</c:v>
                </c:pt>
                <c:pt idx="24">
                  <c:v>-2.8143360082388824E-6</c:v>
                </c:pt>
                <c:pt idx="25">
                  <c:v>-2.4523126738706935E-4</c:v>
                </c:pt>
                <c:pt idx="26">
                  <c:v>-5.9882589547721743E-4</c:v>
                </c:pt>
                <c:pt idx="27">
                  <c:v>-2.9063182209985161E-3</c:v>
                </c:pt>
                <c:pt idx="28">
                  <c:v>-6.277772254423386E-3</c:v>
                </c:pt>
                <c:pt idx="29">
                  <c:v>-1.0347855165097064E-2</c:v>
                </c:pt>
                <c:pt idx="30">
                  <c:v>-1.4823813239560391E-2</c:v>
                </c:pt>
              </c:numCache>
            </c:numRef>
          </c:yVal>
        </c:ser>
        <c:ser>
          <c:idx val="1"/>
          <c:order val="1"/>
          <c:tx>
            <c:v>poly fit on fluid density</c:v>
          </c:tx>
          <c:spPr>
            <a:ln w="28575">
              <a:noFill/>
            </a:ln>
          </c:spPr>
          <c:xVal>
            <c:numRef>
              <c:f>'3. NaCl Density fit'!$B$8:$B$38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10.1</c:v>
                </c:pt>
                <c:pt idx="11">
                  <c:v>12.1</c:v>
                </c:pt>
                <c:pt idx="12">
                  <c:v>14.1</c:v>
                </c:pt>
                <c:pt idx="13">
                  <c:v>16.2</c:v>
                </c:pt>
                <c:pt idx="14">
                  <c:v>18.2</c:v>
                </c:pt>
                <c:pt idx="15">
                  <c:v>20.2</c:v>
                </c:pt>
                <c:pt idx="16">
                  <c:v>24.4</c:v>
                </c:pt>
                <c:pt idx="17">
                  <c:v>28.5</c:v>
                </c:pt>
                <c:pt idx="18">
                  <c:v>30.6</c:v>
                </c:pt>
                <c:pt idx="19">
                  <c:v>32.700000000000003</c:v>
                </c:pt>
                <c:pt idx="22" formatCode="0.00">
                  <c:v>5.8239069892807507</c:v>
                </c:pt>
                <c:pt idx="23" formatCode="0.00">
                  <c:v>14.522130219990506</c:v>
                </c:pt>
                <c:pt idx="24" formatCode="0.00">
                  <c:v>28.915743908557047</c:v>
                </c:pt>
                <c:pt idx="25" formatCode="0.00">
                  <c:v>43.176740486694293</c:v>
                </c:pt>
                <c:pt idx="26" formatCode="0.00">
                  <c:v>57.302347198931358</c:v>
                </c:pt>
                <c:pt idx="27" formatCode="0.00">
                  <c:v>112.41556815521912</c:v>
                </c:pt>
                <c:pt idx="28" formatCode="0.00">
                  <c:v>165.27107321101136</c:v>
                </c:pt>
                <c:pt idx="29" formatCode="0.00">
                  <c:v>215.88457823850413</c:v>
                </c:pt>
                <c:pt idx="30" formatCode="0.00">
                  <c:v>264.32984326652041</c:v>
                </c:pt>
              </c:numCache>
            </c:numRef>
          </c:xVal>
          <c:yVal>
            <c:numRef>
              <c:f>'3. NaCl Density fit'!$L$8:$L$38</c:f>
              <c:numCache>
                <c:formatCode>0.000000</c:formatCode>
                <c:ptCount val="31"/>
                <c:pt idx="0">
                  <c:v>-2.9999999995311555E-7</c:v>
                </c:pt>
                <c:pt idx="1">
                  <c:v>7.9800000000185278E-6</c:v>
                </c:pt>
                <c:pt idx="2">
                  <c:v>-9.0480000000003891E-5</c:v>
                </c:pt>
                <c:pt idx="3">
                  <c:v>-8.9379999999916748E-5</c:v>
                </c:pt>
                <c:pt idx="4">
                  <c:v>-8.8720000000153121E-5</c:v>
                </c:pt>
                <c:pt idx="5">
                  <c:v>-8.8499999999935852E-5</c:v>
                </c:pt>
                <c:pt idx="6">
                  <c:v>-8.8719999999931076E-5</c:v>
                </c:pt>
                <c:pt idx="7">
                  <c:v>-8.9380000000138793E-5</c:v>
                </c:pt>
                <c:pt idx="8">
                  <c:v>-9.0479999999892868E-5</c:v>
                </c:pt>
                <c:pt idx="9">
                  <c:v>-9.2019999999859436E-5</c:v>
                </c:pt>
                <c:pt idx="10">
                  <c:v>-2.422219999997921E-5</c:v>
                </c:pt>
                <c:pt idx="11">
                  <c:v>-1.2959019999980725E-4</c:v>
                </c:pt>
                <c:pt idx="12">
                  <c:v>-1.3671820000005219E-4</c:v>
                </c:pt>
                <c:pt idx="13">
                  <c:v>-7.6096799999980647E-5</c:v>
                </c:pt>
                <c:pt idx="14">
                  <c:v>-8.6832799999880805E-5</c:v>
                </c:pt>
                <c:pt idx="15">
                  <c:v>-1.9932879999995379E-4</c:v>
                </c:pt>
                <c:pt idx="16">
                  <c:v>-9.1299199999950176E-5</c:v>
                </c:pt>
                <c:pt idx="17">
                  <c:v>-1.5999499999996836E-4</c:v>
                </c:pt>
                <c:pt idx="18">
                  <c:v>-1.1267920000013198E-4</c:v>
                </c:pt>
                <c:pt idx="19">
                  <c:v>-1.6730379999985168E-4</c:v>
                </c:pt>
                <c:pt idx="22">
                  <c:v>-9.7592361937293148E-5</c:v>
                </c:pt>
                <c:pt idx="23">
                  <c:v>-1.5072801895810173E-4</c:v>
                </c:pt>
                <c:pt idx="24">
                  <c:v>-1.7645774695562721E-4</c:v>
                </c:pt>
                <c:pt idx="25">
                  <c:v>-1.5777184658349874E-4</c:v>
                </c:pt>
                <c:pt idx="26">
                  <c:v>-1.139993690781882E-4</c:v>
                </c:pt>
                <c:pt idx="27">
                  <c:v>1.4515986240448697E-4</c:v>
                </c:pt>
                <c:pt idx="28">
                  <c:v>2.9670773161027952E-4</c:v>
                </c:pt>
                <c:pt idx="29">
                  <c:v>1.3134051020236015E-4</c:v>
                </c:pt>
                <c:pt idx="30">
                  <c:v>-5.0247266604142027E-4</c:v>
                </c:pt>
              </c:numCache>
            </c:numRef>
          </c:yVal>
        </c:ser>
        <c:ser>
          <c:idx val="2"/>
          <c:order val="2"/>
          <c:tx>
            <c:v>Poly fit on salt density</c:v>
          </c:tx>
          <c:spPr>
            <a:ln w="28575">
              <a:noFill/>
            </a:ln>
          </c:spPr>
          <c:xVal>
            <c:numRef>
              <c:f>'3. NaCl Density fit'!$B$8:$B$38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10.1</c:v>
                </c:pt>
                <c:pt idx="11">
                  <c:v>12.1</c:v>
                </c:pt>
                <c:pt idx="12">
                  <c:v>14.1</c:v>
                </c:pt>
                <c:pt idx="13">
                  <c:v>16.2</c:v>
                </c:pt>
                <c:pt idx="14">
                  <c:v>18.2</c:v>
                </c:pt>
                <c:pt idx="15">
                  <c:v>20.2</c:v>
                </c:pt>
                <c:pt idx="16">
                  <c:v>24.4</c:v>
                </c:pt>
                <c:pt idx="17">
                  <c:v>28.5</c:v>
                </c:pt>
                <c:pt idx="18">
                  <c:v>30.6</c:v>
                </c:pt>
                <c:pt idx="19">
                  <c:v>32.700000000000003</c:v>
                </c:pt>
                <c:pt idx="22" formatCode="0.00">
                  <c:v>5.8239069892807507</c:v>
                </c:pt>
                <c:pt idx="23" formatCode="0.00">
                  <c:v>14.522130219990506</c:v>
                </c:pt>
                <c:pt idx="24" formatCode="0.00">
                  <c:v>28.915743908557047</c:v>
                </c:pt>
                <c:pt idx="25" formatCode="0.00">
                  <c:v>43.176740486694293</c:v>
                </c:pt>
                <c:pt idx="26" formatCode="0.00">
                  <c:v>57.302347198931358</c:v>
                </c:pt>
                <c:pt idx="27" formatCode="0.00">
                  <c:v>112.41556815521912</c:v>
                </c:pt>
                <c:pt idx="28" formatCode="0.00">
                  <c:v>165.27107321101136</c:v>
                </c:pt>
                <c:pt idx="29" formatCode="0.00">
                  <c:v>215.88457823850413</c:v>
                </c:pt>
                <c:pt idx="30" formatCode="0.00">
                  <c:v>264.32984326652041</c:v>
                </c:pt>
              </c:numCache>
            </c:numRef>
          </c:xVal>
          <c:yVal>
            <c:numRef>
              <c:f>'3. NaCl Density fit'!$J$8:$J$38</c:f>
              <c:numCache>
                <c:formatCode>0.000000</c:formatCode>
                <c:ptCount val="31"/>
                <c:pt idx="0">
                  <c:v>0</c:v>
                </c:pt>
                <c:pt idx="1">
                  <c:v>1.2468105399676688E-5</c:v>
                </c:pt>
                <c:pt idx="2">
                  <c:v>-8.1847506133714276E-5</c:v>
                </c:pt>
                <c:pt idx="3">
                  <c:v>-7.6646988723449994E-5</c:v>
                </c:pt>
                <c:pt idx="4">
                  <c:v>-7.1930493574345888E-5</c:v>
                </c:pt>
                <c:pt idx="5">
                  <c:v>-6.7698168958019167E-5</c:v>
                </c:pt>
                <c:pt idx="6">
                  <c:v>-6.3950160199999218E-5</c:v>
                </c:pt>
                <c:pt idx="7">
                  <c:v>-6.0686609665294711E-5</c:v>
                </c:pt>
                <c:pt idx="8">
                  <c:v>-5.790765674440479E-5</c:v>
                </c:pt>
                <c:pt idx="9">
                  <c:v>-5.5613437840218438E-5</c:v>
                </c:pt>
                <c:pt idx="10">
                  <c:v>1.6350176041513009E-5</c:v>
                </c:pt>
                <c:pt idx="11">
                  <c:v>-8.1583267982576757E-5</c:v>
                </c:pt>
                <c:pt idx="12">
                  <c:v>-8.1457755871428006E-5</c:v>
                </c:pt>
                <c:pt idx="13">
                  <c:v>-1.3416061167115245E-5</c:v>
                </c:pt>
                <c:pt idx="14">
                  <c:v>-1.7272621291253287E-5</c:v>
                </c:pt>
                <c:pt idx="15">
                  <c:v>-1.2307298390146215E-4</c:v>
                </c:pt>
                <c:pt idx="16">
                  <c:v>-1.5843334193466063E-6</c:v>
                </c:pt>
                <c:pt idx="17">
                  <c:v>-5.7933164635981527E-5</c:v>
                </c:pt>
                <c:pt idx="18">
                  <c:v>-4.5979661471573507E-6</c:v>
                </c:pt>
                <c:pt idx="19">
                  <c:v>-5.341038633366324E-5</c:v>
                </c:pt>
                <c:pt idx="22">
                  <c:v>-7.3518039662046064E-5</c:v>
                </c:pt>
                <c:pt idx="23">
                  <c:v>-9.395984103033328E-5</c:v>
                </c:pt>
                <c:pt idx="24">
                  <c:v>-7.318780904541633E-5</c:v>
                </c:pt>
                <c:pt idx="25">
                  <c:v>-1.7994639451623939E-5</c:v>
                </c:pt>
                <c:pt idx="26">
                  <c:v>5.2423082213426397E-5</c:v>
                </c:pt>
                <c:pt idx="27">
                  <c:v>3.2729099554251739E-4</c:v>
                </c:pt>
                <c:pt idx="28">
                  <c:v>3.8295613915484417E-4</c:v>
                </c:pt>
                <c:pt idx="29">
                  <c:v>7.6224613145381426E-5</c:v>
                </c:pt>
                <c:pt idx="30">
                  <c:v>-6.603633107979956E-4</c:v>
                </c:pt>
              </c:numCache>
            </c:numRef>
          </c:yVal>
        </c:ser>
        <c:axId val="193648512"/>
        <c:axId val="46466944"/>
      </c:scatterChart>
      <c:valAx>
        <c:axId val="19364851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Salt Concentration (g/cc)</a:t>
                </a:r>
              </a:p>
            </c:rich>
          </c:tx>
          <c:layout>
            <c:manualLayout>
              <c:xMode val="edge"/>
              <c:yMode val="edge"/>
              <c:x val="0.26666666666666738"/>
              <c:y val="0.86458333333333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466944"/>
        <c:crossesAt val="-1"/>
        <c:crossBetween val="midCat"/>
      </c:valAx>
      <c:valAx>
        <c:axId val="46466944"/>
        <c:scaling>
          <c:orientation val="minMax"/>
          <c:max val="2.0000000000000052E-3"/>
          <c:min val="-2.0000000000000052E-3"/>
        </c:scaling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Density Error (g/cc)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12847222222222221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648512"/>
        <c:crosses val="autoZero"/>
        <c:crossBetween val="midCat"/>
        <c:majorUnit val="1.0000000000000028E-3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013888888888889"/>
          <c:y val="0.55092592592592549"/>
          <c:w val="0.26153805774278216"/>
          <c:h val="0.2251640419947506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'5. SeaWater Viscosity fit'!$Q$14</c:f>
              <c:strCache>
                <c:ptCount val="1"/>
                <c:pt idx="0">
                  <c:v>24</c:v>
                </c:pt>
              </c:strCache>
            </c:strRef>
          </c:tx>
          <c:spPr>
            <a:ln w="28575">
              <a:noFill/>
            </a:ln>
          </c:spPr>
          <c:xVal>
            <c:numRef>
              <c:f>'5. SeaWater Viscosity fit'!$D$16:$D$28</c:f>
              <c:numCache>
                <c:formatCode>General</c:formatCode>
                <c:ptCount val="13"/>
                <c:pt idx="0">
                  <c:v>0</c:v>
                </c:pt>
                <c:pt idx="1">
                  <c:v>10.057</c:v>
                </c:pt>
                <c:pt idx="2">
                  <c:v>20.268000000000001</c:v>
                </c:pt>
                <c:pt idx="3">
                  <c:v>30.632999999999999</c:v>
                </c:pt>
                <c:pt idx="4">
                  <c:v>41.152000000000001</c:v>
                </c:pt>
                <c:pt idx="5">
                  <c:v>51.825000000000003</c:v>
                </c:pt>
                <c:pt idx="6">
                  <c:v>62.645999999999994</c:v>
                </c:pt>
                <c:pt idx="7">
                  <c:v>73.626000000000005</c:v>
                </c:pt>
                <c:pt idx="8">
                  <c:v>84.76</c:v>
                </c:pt>
                <c:pt idx="9">
                  <c:v>96.048000000000002</c:v>
                </c:pt>
                <c:pt idx="10">
                  <c:v>107.49000000000001</c:v>
                </c:pt>
                <c:pt idx="11">
                  <c:v>119.08599999999998</c:v>
                </c:pt>
                <c:pt idx="12">
                  <c:v>130.83600000000001</c:v>
                </c:pt>
              </c:numCache>
            </c:numRef>
          </c:xVal>
          <c:yVal>
            <c:numRef>
              <c:f>'5. SeaWater Viscosity fit'!$Q$16:$Q$28</c:f>
              <c:numCache>
                <c:formatCode>0.00000</c:formatCode>
                <c:ptCount val="13"/>
                <c:pt idx="0">
                  <c:v>0</c:v>
                </c:pt>
                <c:pt idx="1">
                  <c:v>-2.4197162450001475E-5</c:v>
                </c:pt>
                <c:pt idx="2">
                  <c:v>-3.9899591199999904E-5</c:v>
                </c:pt>
                <c:pt idx="3">
                  <c:v>-6.5579034449999782E-5</c:v>
                </c:pt>
                <c:pt idx="4">
                  <c:v>-8.9714355199999041E-5</c:v>
                </c:pt>
                <c:pt idx="5">
                  <c:v>-1.2279153124999942E-4</c:v>
                </c:pt>
                <c:pt idx="6">
                  <c:v>-1.571460657999995E-4</c:v>
                </c:pt>
                <c:pt idx="7">
                  <c:v>-1.9155939380000042E-4</c:v>
                </c:pt>
                <c:pt idx="8">
                  <c:v>-2.324128799999995E-4</c:v>
                </c:pt>
                <c:pt idx="9">
                  <c:v>-2.8422091519999734E-4</c:v>
                </c:pt>
                <c:pt idx="10">
                  <c:v>-3.3350500499999998E-4</c:v>
                </c:pt>
                <c:pt idx="11">
                  <c:v>-3.9079376979999844E-4</c:v>
                </c:pt>
                <c:pt idx="12">
                  <c:v>-4.6062294479999946E-4</c:v>
                </c:pt>
              </c:numCache>
            </c:numRef>
          </c:yVal>
        </c:ser>
        <c:axId val="47228416"/>
        <c:axId val="47230336"/>
      </c:scatterChart>
      <c:valAx>
        <c:axId val="47228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</a:t>
                </a:r>
                <a:r>
                  <a:rPr lang="en-US" baseline="0"/>
                  <a:t> (g/L)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7230336"/>
        <c:crosses val="autoZero"/>
        <c:crossBetween val="midCat"/>
      </c:valAx>
      <c:valAx>
        <c:axId val="47230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Dynamic</a:t>
                </a:r>
                <a:r>
                  <a:rPr lang="en-US" baseline="0"/>
                  <a:t> Viscosity (g/cm s)</a:t>
                </a:r>
                <a:endParaRPr lang="en-US"/>
              </a:p>
            </c:rich>
          </c:tx>
          <c:layout/>
        </c:title>
        <c:numFmt formatCode="#,##0.0000" sourceLinked="0"/>
        <c:tickLblPos val="nextTo"/>
        <c:crossAx val="472284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'5. SeaWater Viscosity fit'!$Y$14</c:f>
              <c:strCache>
                <c:ptCount val="1"/>
                <c:pt idx="0">
                  <c:v>26</c:v>
                </c:pt>
              </c:strCache>
            </c:strRef>
          </c:tx>
          <c:spPr>
            <a:ln w="28575">
              <a:noFill/>
            </a:ln>
          </c:spPr>
          <c:xVal>
            <c:numRef>
              <c:f>'5. SeaWater Viscosity fit'!$D$16:$D$28</c:f>
              <c:numCache>
                <c:formatCode>General</c:formatCode>
                <c:ptCount val="13"/>
                <c:pt idx="0">
                  <c:v>0</c:v>
                </c:pt>
                <c:pt idx="1">
                  <c:v>10.057</c:v>
                </c:pt>
                <c:pt idx="2">
                  <c:v>20.268000000000001</c:v>
                </c:pt>
                <c:pt idx="3">
                  <c:v>30.632999999999999</c:v>
                </c:pt>
                <c:pt idx="4">
                  <c:v>41.152000000000001</c:v>
                </c:pt>
                <c:pt idx="5">
                  <c:v>51.825000000000003</c:v>
                </c:pt>
                <c:pt idx="6">
                  <c:v>62.645999999999994</c:v>
                </c:pt>
                <c:pt idx="7">
                  <c:v>73.626000000000005</c:v>
                </c:pt>
                <c:pt idx="8">
                  <c:v>84.76</c:v>
                </c:pt>
                <c:pt idx="9">
                  <c:v>96.048000000000002</c:v>
                </c:pt>
                <c:pt idx="10">
                  <c:v>107.49000000000001</c:v>
                </c:pt>
                <c:pt idx="11">
                  <c:v>119.08599999999998</c:v>
                </c:pt>
                <c:pt idx="12">
                  <c:v>130.83600000000001</c:v>
                </c:pt>
              </c:numCache>
            </c:numRef>
          </c:xVal>
          <c:yVal>
            <c:numRef>
              <c:f>'5. SeaWater Viscosity fit'!$Y$16:$Y$28</c:f>
              <c:numCache>
                <c:formatCode>0.00000</c:formatCode>
                <c:ptCount val="13"/>
                <c:pt idx="0">
                  <c:v>-1.0000000000001327E-5</c:v>
                </c:pt>
                <c:pt idx="1">
                  <c:v>-1.6262583968001953E-5</c:v>
                </c:pt>
                <c:pt idx="2">
                  <c:v>-1.3969338368001114E-5</c:v>
                </c:pt>
                <c:pt idx="3">
                  <c:v>-1.5422182048000985E-5</c:v>
                </c:pt>
                <c:pt idx="4">
                  <c:v>-1.2927587327999854E-5</c:v>
                </c:pt>
                <c:pt idx="5">
                  <c:v>-1.679658000000063E-5</c:v>
                </c:pt>
                <c:pt idx="6">
                  <c:v>-1.5212682112001122E-5</c:v>
                </c:pt>
                <c:pt idx="7">
                  <c:v>-1.0733212032000214E-5</c:v>
                </c:pt>
                <c:pt idx="8">
                  <c:v>-7.5762432000005264E-6</c:v>
                </c:pt>
                <c:pt idx="9">
                  <c:v>-1.2070985727998668E-5</c:v>
                </c:pt>
                <c:pt idx="10">
                  <c:v>-8.5512032000009675E-6</c:v>
                </c:pt>
                <c:pt idx="11">
                  <c:v>-7.355212672000358E-6</c:v>
                </c:pt>
                <c:pt idx="12">
                  <c:v>-1.4825884672000147E-5</c:v>
                </c:pt>
              </c:numCache>
            </c:numRef>
          </c:yVal>
        </c:ser>
        <c:axId val="47263104"/>
        <c:axId val="47285760"/>
      </c:scatterChart>
      <c:valAx>
        <c:axId val="47263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</a:t>
                </a:r>
                <a:r>
                  <a:rPr lang="en-US" baseline="0"/>
                  <a:t> (g/L)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7285760"/>
        <c:crosses val="autoZero"/>
        <c:crossBetween val="midCat"/>
      </c:valAx>
      <c:valAx>
        <c:axId val="47285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Dynamic</a:t>
                </a:r>
                <a:r>
                  <a:rPr lang="en-US" baseline="0"/>
                  <a:t> Viscosity (g/cm s)</a:t>
                </a:r>
                <a:endParaRPr lang="en-US"/>
              </a:p>
            </c:rich>
          </c:tx>
          <c:layout/>
        </c:title>
        <c:numFmt formatCode="#,##0.0000" sourceLinked="0"/>
        <c:tickLblPos val="nextTo"/>
        <c:crossAx val="472631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'5. SeaWater Viscosity fit'!$U$14</c:f>
              <c:strCache>
                <c:ptCount val="1"/>
                <c:pt idx="0">
                  <c:v>25.3</c:v>
                </c:pt>
              </c:strCache>
            </c:strRef>
          </c:tx>
          <c:spPr>
            <a:ln w="28575">
              <a:noFill/>
            </a:ln>
          </c:spPr>
          <c:xVal>
            <c:numRef>
              <c:f>'5. SeaWater Viscosity fit'!$D$16:$D$28</c:f>
              <c:numCache>
                <c:formatCode>General</c:formatCode>
                <c:ptCount val="13"/>
                <c:pt idx="0">
                  <c:v>0</c:v>
                </c:pt>
                <c:pt idx="1">
                  <c:v>10.057</c:v>
                </c:pt>
                <c:pt idx="2">
                  <c:v>20.268000000000001</c:v>
                </c:pt>
                <c:pt idx="3">
                  <c:v>30.632999999999999</c:v>
                </c:pt>
                <c:pt idx="4">
                  <c:v>41.152000000000001</c:v>
                </c:pt>
                <c:pt idx="5">
                  <c:v>51.825000000000003</c:v>
                </c:pt>
                <c:pt idx="6">
                  <c:v>62.645999999999994</c:v>
                </c:pt>
                <c:pt idx="7">
                  <c:v>73.626000000000005</c:v>
                </c:pt>
                <c:pt idx="8">
                  <c:v>84.76</c:v>
                </c:pt>
                <c:pt idx="9">
                  <c:v>96.048000000000002</c:v>
                </c:pt>
                <c:pt idx="10">
                  <c:v>107.49000000000001</c:v>
                </c:pt>
                <c:pt idx="11">
                  <c:v>119.08599999999998</c:v>
                </c:pt>
                <c:pt idx="12">
                  <c:v>130.83600000000001</c:v>
                </c:pt>
              </c:numCache>
            </c:numRef>
          </c:xVal>
          <c:yVal>
            <c:numRef>
              <c:f>'5. SeaWater Viscosity fit'!$U$16:$U$28</c:f>
              <c:numCache>
                <c:formatCode>0.00000</c:formatCode>
                <c:ptCount val="13"/>
                <c:pt idx="0">
                  <c:v>3.3499999999998809E-5</c:v>
                </c:pt>
                <c:pt idx="1">
                  <c:v>1.446220527299806E-5</c:v>
                </c:pt>
                <c:pt idx="2">
                  <c:v>7.0257880479991652E-6</c:v>
                </c:pt>
                <c:pt idx="3">
                  <c:v>-3.1262558470007001E-6</c:v>
                </c:pt>
                <c:pt idx="4">
                  <c:v>-6.8142033920002426E-6</c:v>
                </c:pt>
                <c:pt idx="5">
                  <c:v>-1.4261604375001222E-5</c:v>
                </c:pt>
                <c:pt idx="6">
                  <c:v>-1.4960990267999172E-5</c:v>
                </c:pt>
                <c:pt idx="7">
                  <c:v>-9.9851211480001673E-6</c:v>
                </c:pt>
                <c:pt idx="8">
                  <c:v>-4.1579247999998931E-6</c:v>
                </c:pt>
                <c:pt idx="9">
                  <c:v>-3.0160209919978531E-6</c:v>
                </c:pt>
                <c:pt idx="10">
                  <c:v>8.5006976999982969E-6</c:v>
                </c:pt>
                <c:pt idx="11">
                  <c:v>2.014906589199901E-5</c:v>
                </c:pt>
                <c:pt idx="12">
                  <c:v>2.6382645392000401E-5</c:v>
                </c:pt>
              </c:numCache>
            </c:numRef>
          </c:yVal>
        </c:ser>
        <c:axId val="87875968"/>
        <c:axId val="87877888"/>
      </c:scatterChart>
      <c:valAx>
        <c:axId val="87875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</a:t>
                </a:r>
                <a:r>
                  <a:rPr lang="en-US" baseline="0"/>
                  <a:t> (g/L)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87877888"/>
        <c:crosses val="autoZero"/>
        <c:crossBetween val="midCat"/>
      </c:valAx>
      <c:valAx>
        <c:axId val="87877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Dynamic</a:t>
                </a:r>
                <a:r>
                  <a:rPr lang="en-US" baseline="0"/>
                  <a:t> Viscosity (g/cm s)</a:t>
                </a:r>
                <a:endParaRPr lang="en-US"/>
              </a:p>
            </c:rich>
          </c:tx>
          <c:layout/>
        </c:title>
        <c:numFmt formatCode="#,##0.0000" sourceLinked="0"/>
        <c:tickLblPos val="nextTo"/>
        <c:crossAx val="878759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8750000000000044"/>
          <c:y val="4.8611111111111112E-2"/>
          <c:w val="0.58958333333333257"/>
          <c:h val="0.71527777777777779"/>
        </c:manualLayout>
      </c:layout>
      <c:scatterChart>
        <c:scatterStyle val="lineMarker"/>
        <c:ser>
          <c:idx val="0"/>
          <c:order val="0"/>
          <c:tx>
            <c:v>3.35 salt density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'X. Amy''s NaCl Cal. don''t use'!$B$8:$B$38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10.1</c:v>
                </c:pt>
                <c:pt idx="11">
                  <c:v>12.1</c:v>
                </c:pt>
                <c:pt idx="12">
                  <c:v>14.1</c:v>
                </c:pt>
                <c:pt idx="13">
                  <c:v>16.2</c:v>
                </c:pt>
                <c:pt idx="14">
                  <c:v>18.2</c:v>
                </c:pt>
                <c:pt idx="15">
                  <c:v>20.2</c:v>
                </c:pt>
                <c:pt idx="16">
                  <c:v>24.4</c:v>
                </c:pt>
                <c:pt idx="17">
                  <c:v>28.5</c:v>
                </c:pt>
                <c:pt idx="18">
                  <c:v>30.6</c:v>
                </c:pt>
                <c:pt idx="19">
                  <c:v>32.700000000000003</c:v>
                </c:pt>
                <c:pt idx="22" formatCode="0.00">
                  <c:v>5.8239069892807507</c:v>
                </c:pt>
                <c:pt idx="23" formatCode="0.00">
                  <c:v>14.522130219990506</c:v>
                </c:pt>
                <c:pt idx="24" formatCode="0.00">
                  <c:v>28.915743908557047</c:v>
                </c:pt>
                <c:pt idx="25" formatCode="0.00">
                  <c:v>43.176740486694293</c:v>
                </c:pt>
                <c:pt idx="26" formatCode="0.00">
                  <c:v>57.302347198931358</c:v>
                </c:pt>
                <c:pt idx="27" formatCode="0.00">
                  <c:v>112.41556815521912</c:v>
                </c:pt>
                <c:pt idx="28" formatCode="0.00">
                  <c:v>165.27107321101136</c:v>
                </c:pt>
                <c:pt idx="29" formatCode="0.00">
                  <c:v>215.88457823850413</c:v>
                </c:pt>
                <c:pt idx="30" formatCode="0.00">
                  <c:v>264.32984326652041</c:v>
                </c:pt>
              </c:numCache>
            </c:numRef>
          </c:xVal>
          <c:yVal>
            <c:numRef>
              <c:f>'X. Amy''s NaCl Cal. don''t use'!$F$8:$F$38</c:f>
              <c:numCache>
                <c:formatCode>0.000000</c:formatCode>
                <c:ptCount val="31"/>
                <c:pt idx="0">
                  <c:v>0</c:v>
                </c:pt>
                <c:pt idx="1">
                  <c:v>-8.3279701492688929E-6</c:v>
                </c:pt>
                <c:pt idx="2">
                  <c:v>8.964405970157685E-5</c:v>
                </c:pt>
                <c:pt idx="3">
                  <c:v>8.7616089552211562E-5</c:v>
                </c:pt>
                <c:pt idx="4">
                  <c:v>8.5588119403068319E-5</c:v>
                </c:pt>
                <c:pt idx="5">
                  <c:v>8.3560149253703031E-5</c:v>
                </c:pt>
                <c:pt idx="6">
                  <c:v>8.1532179104337743E-5</c:v>
                </c:pt>
                <c:pt idx="7">
                  <c:v>7.9504208955416544E-5</c:v>
                </c:pt>
                <c:pt idx="8">
                  <c:v>7.7476238806051256E-5</c:v>
                </c:pt>
                <c:pt idx="9">
                  <c:v>7.5448268656685968E-5</c:v>
                </c:pt>
                <c:pt idx="10">
                  <c:v>3.2175014925694967E-6</c:v>
                </c:pt>
                <c:pt idx="11">
                  <c:v>9.9161561194049952E-5</c:v>
                </c:pt>
                <c:pt idx="12">
                  <c:v>9.5105620895541421E-5</c:v>
                </c:pt>
                <c:pt idx="13">
                  <c:v>2.0846883582059661E-5</c:v>
                </c:pt>
                <c:pt idx="14">
                  <c:v>1.679094328355113E-5</c:v>
                </c:pt>
                <c:pt idx="15">
                  <c:v>1.1273500298503158E-4</c:v>
                </c:pt>
                <c:pt idx="16">
                  <c:v>-3.578247164170989E-5</c:v>
                </c:pt>
                <c:pt idx="17">
                  <c:v>-1.4097149253711194E-5</c:v>
                </c:pt>
                <c:pt idx="18">
                  <c:v>-8.8355886567192954E-5</c:v>
                </c:pt>
                <c:pt idx="19">
                  <c:v>-6.2614623880685727E-5</c:v>
                </c:pt>
                <c:pt idx="22">
                  <c:v>9.083231141104875E-5</c:v>
                </c:pt>
                <c:pt idx="23">
                  <c:v>1.0652996030469097E-4</c:v>
                </c:pt>
                <c:pt idx="24">
                  <c:v>-2.8143360082388824E-6</c:v>
                </c:pt>
                <c:pt idx="25">
                  <c:v>-2.4523126738706935E-4</c:v>
                </c:pt>
                <c:pt idx="26">
                  <c:v>-5.9882589547721743E-4</c:v>
                </c:pt>
                <c:pt idx="27">
                  <c:v>-2.9063182209985161E-3</c:v>
                </c:pt>
                <c:pt idx="28">
                  <c:v>-6.277772254423386E-3</c:v>
                </c:pt>
                <c:pt idx="29">
                  <c:v>-1.0347855165097064E-2</c:v>
                </c:pt>
                <c:pt idx="30">
                  <c:v>-1.4823813239560391E-2</c:v>
                </c:pt>
              </c:numCache>
            </c:numRef>
          </c:yVal>
        </c:ser>
        <c:ser>
          <c:idx val="1"/>
          <c:order val="1"/>
          <c:tx>
            <c:v>poly fit on fluid density</c:v>
          </c:tx>
          <c:spPr>
            <a:ln w="28575">
              <a:noFill/>
            </a:ln>
          </c:spPr>
          <c:xVal>
            <c:numRef>
              <c:f>'X. Amy''s NaCl Cal. don''t use'!$B$8:$B$38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10.1</c:v>
                </c:pt>
                <c:pt idx="11">
                  <c:v>12.1</c:v>
                </c:pt>
                <c:pt idx="12">
                  <c:v>14.1</c:v>
                </c:pt>
                <c:pt idx="13">
                  <c:v>16.2</c:v>
                </c:pt>
                <c:pt idx="14">
                  <c:v>18.2</c:v>
                </c:pt>
                <c:pt idx="15">
                  <c:v>20.2</c:v>
                </c:pt>
                <c:pt idx="16">
                  <c:v>24.4</c:v>
                </c:pt>
                <c:pt idx="17">
                  <c:v>28.5</c:v>
                </c:pt>
                <c:pt idx="18">
                  <c:v>30.6</c:v>
                </c:pt>
                <c:pt idx="19">
                  <c:v>32.700000000000003</c:v>
                </c:pt>
                <c:pt idx="22" formatCode="0.00">
                  <c:v>5.8239069892807507</c:v>
                </c:pt>
                <c:pt idx="23" formatCode="0.00">
                  <c:v>14.522130219990506</c:v>
                </c:pt>
                <c:pt idx="24" formatCode="0.00">
                  <c:v>28.915743908557047</c:v>
                </c:pt>
                <c:pt idx="25" formatCode="0.00">
                  <c:v>43.176740486694293</c:v>
                </c:pt>
                <c:pt idx="26" formatCode="0.00">
                  <c:v>57.302347198931358</c:v>
                </c:pt>
                <c:pt idx="27" formatCode="0.00">
                  <c:v>112.41556815521912</c:v>
                </c:pt>
                <c:pt idx="28" formatCode="0.00">
                  <c:v>165.27107321101136</c:v>
                </c:pt>
                <c:pt idx="29" formatCode="0.00">
                  <c:v>215.88457823850413</c:v>
                </c:pt>
                <c:pt idx="30" formatCode="0.00">
                  <c:v>264.32984326652041</c:v>
                </c:pt>
              </c:numCache>
            </c:numRef>
          </c:xVal>
          <c:yVal>
            <c:numRef>
              <c:f>'X. Amy''s NaCl Cal. don''t use'!$N$8:$N$38</c:f>
              <c:numCache>
                <c:formatCode>0.000000</c:formatCode>
                <c:ptCount val="31"/>
                <c:pt idx="0">
                  <c:v>-3.8131967752152995E-5</c:v>
                </c:pt>
                <c:pt idx="1">
                  <c:v>-1.2764081589899945E-5</c:v>
                </c:pt>
                <c:pt idx="2">
                  <c:v>-9.4279254835072379E-5</c:v>
                </c:pt>
                <c:pt idx="3">
                  <c:v>-7.6377487487455653E-5</c:v>
                </c:pt>
                <c:pt idx="4">
                  <c:v>-5.9058779547704887E-5</c:v>
                </c:pt>
                <c:pt idx="5">
                  <c:v>-4.2323131014931903E-5</c:v>
                </c:pt>
                <c:pt idx="6">
                  <c:v>-2.617054188958079E-5</c:v>
                </c:pt>
                <c:pt idx="7">
                  <c:v>-1.0601012171873592E-5</c:v>
                </c:pt>
                <c:pt idx="8">
                  <c:v>4.3854581386337799E-6</c:v>
                </c:pt>
                <c:pt idx="9">
                  <c:v>1.8788869041719281E-5</c:v>
                </c:pt>
                <c:pt idx="10">
                  <c:v>1.039591874192336E-4</c:v>
                </c:pt>
                <c:pt idx="11">
                  <c:v>2.9734100306821887E-5</c:v>
                </c:pt>
                <c:pt idx="12">
                  <c:v>5.3176775564711676E-5</c:v>
                </c:pt>
                <c:pt idx="13">
                  <c:v>1.4528151383652599E-4</c:v>
                </c:pt>
                <c:pt idx="14">
                  <c:v>1.6394310195355644E-4</c:v>
                </c:pt>
                <c:pt idx="15">
                  <c:v>8.0272452441132458E-5</c:v>
                </c:pt>
                <c:pt idx="16">
                  <c:v>2.4697265498008214E-4</c:v>
                </c:pt>
                <c:pt idx="17">
                  <c:v>2.3311638259415624E-4</c:v>
                </c:pt>
                <c:pt idx="18">
                  <c:v>3.0758940438602167E-4</c:v>
                </c:pt>
                <c:pt idx="19">
                  <c:v>2.7949113419123428E-4</c:v>
                </c:pt>
                <c:pt idx="22">
                  <c:v>-3.7915624504947232E-5</c:v>
                </c:pt>
                <c:pt idx="23">
                  <c:v>4.5546223684800324E-5</c:v>
                </c:pt>
                <c:pt idx="24">
                  <c:v>2.2208012665081434E-4</c:v>
                </c:pt>
                <c:pt idx="25">
                  <c:v>4.119359461360883E-4</c:v>
                </c:pt>
                <c:pt idx="26">
                  <c:v>5.9657146687963625E-4</c:v>
                </c:pt>
                <c:pt idx="27">
                  <c:v>1.132373917600793E-3</c:v>
                </c:pt>
                <c:pt idx="28">
                  <c:v>1.1410307707624412E-3</c:v>
                </c:pt>
                <c:pt idx="29">
                  <c:v>4.6423761898894966E-4</c:v>
                </c:pt>
                <c:pt idx="30">
                  <c:v>-1.0023583550820003E-3</c:v>
                </c:pt>
              </c:numCache>
            </c:numRef>
          </c:yVal>
        </c:ser>
        <c:ser>
          <c:idx val="2"/>
          <c:order val="2"/>
          <c:tx>
            <c:v>Poly fit on salt density</c:v>
          </c:tx>
          <c:spPr>
            <a:ln w="28575">
              <a:noFill/>
            </a:ln>
          </c:spPr>
          <c:xVal>
            <c:numRef>
              <c:f>'X. Amy''s NaCl Cal. don''t use'!$B$8:$B$38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10.1</c:v>
                </c:pt>
                <c:pt idx="11">
                  <c:v>12.1</c:v>
                </c:pt>
                <c:pt idx="12">
                  <c:v>14.1</c:v>
                </c:pt>
                <c:pt idx="13">
                  <c:v>16.2</c:v>
                </c:pt>
                <c:pt idx="14">
                  <c:v>18.2</c:v>
                </c:pt>
                <c:pt idx="15">
                  <c:v>20.2</c:v>
                </c:pt>
                <c:pt idx="16">
                  <c:v>24.4</c:v>
                </c:pt>
                <c:pt idx="17">
                  <c:v>28.5</c:v>
                </c:pt>
                <c:pt idx="18">
                  <c:v>30.6</c:v>
                </c:pt>
                <c:pt idx="19">
                  <c:v>32.700000000000003</c:v>
                </c:pt>
                <c:pt idx="22" formatCode="0.00">
                  <c:v>5.8239069892807507</c:v>
                </c:pt>
                <c:pt idx="23" formatCode="0.00">
                  <c:v>14.522130219990506</c:v>
                </c:pt>
                <c:pt idx="24" formatCode="0.00">
                  <c:v>28.915743908557047</c:v>
                </c:pt>
                <c:pt idx="25" formatCode="0.00">
                  <c:v>43.176740486694293</c:v>
                </c:pt>
                <c:pt idx="26" formatCode="0.00">
                  <c:v>57.302347198931358</c:v>
                </c:pt>
                <c:pt idx="27" formatCode="0.00">
                  <c:v>112.41556815521912</c:v>
                </c:pt>
                <c:pt idx="28" formatCode="0.00">
                  <c:v>165.27107321101136</c:v>
                </c:pt>
                <c:pt idx="29" formatCode="0.00">
                  <c:v>215.88457823850413</c:v>
                </c:pt>
                <c:pt idx="30" formatCode="0.00">
                  <c:v>264.32984326652041</c:v>
                </c:pt>
              </c:numCache>
            </c:numRef>
          </c:xVal>
          <c:yVal>
            <c:numRef>
              <c:f>'X. Amy''s NaCl Cal. don''t use'!$K$8:$K$38</c:f>
              <c:numCache>
                <c:formatCode>0.000000</c:formatCode>
                <c:ptCount val="31"/>
                <c:pt idx="0">
                  <c:v>0</c:v>
                </c:pt>
                <c:pt idx="1">
                  <c:v>4.2014464513018268E-6</c:v>
                </c:pt>
                <c:pt idx="2">
                  <c:v>-9.8156901278567688E-5</c:v>
                </c:pt>
                <c:pt idx="3">
                  <c:v>-1.0077641829386863E-4</c:v>
                </c:pt>
                <c:pt idx="4">
                  <c:v>-1.0365848386650889E-4</c:v>
                </c:pt>
                <c:pt idx="5">
                  <c:v>-1.0680448146027643E-4</c:v>
                </c:pt>
                <c:pt idx="6">
                  <c:v>-1.1021579875647447E-4</c:v>
                </c:pt>
                <c:pt idx="7">
                  <c:v>-1.1389382767901246E-4</c:v>
                </c:pt>
                <c:pt idx="8">
                  <c:v>-1.1783996441838696E-4</c:v>
                </c:pt>
                <c:pt idx="9">
                  <c:v>-1.2205560945899308E-4</c:v>
                </c:pt>
                <c:pt idx="10">
                  <c:v>-5.7005777852836559E-5</c:v>
                </c:pt>
                <c:pt idx="11">
                  <c:v>-1.6685203579269725E-4</c:v>
                </c:pt>
                <c:pt idx="12">
                  <c:v>-1.7779948100771215E-4</c:v>
                </c:pt>
                <c:pt idx="13">
                  <c:v>-1.2049192608731829E-4</c:v>
                </c:pt>
                <c:pt idx="14">
                  <c:v>-1.3373252310167061E-4</c:v>
                </c:pt>
                <c:pt idx="15">
                  <c:v>-2.4810930251062402E-4</c:v>
                </c:pt>
                <c:pt idx="16">
                  <c:v>-1.420506009204292E-4</c:v>
                </c:pt>
                <c:pt idx="17">
                  <c:v>-2.1017033822268161E-4</c:v>
                </c:pt>
                <c:pt idx="18">
                  <c:v>-1.616364579655194E-4</c:v>
                </c:pt>
                <c:pt idx="19">
                  <c:v>-2.1443599850767825E-4</c:v>
                </c:pt>
                <c:pt idx="22">
                  <c:v>-1.1853880237078229E-4</c:v>
                </c:pt>
                <c:pt idx="23">
                  <c:v>-1.9253232336780002E-4</c:v>
                </c:pt>
                <c:pt idx="24">
                  <c:v>-2.2644079051370447E-4</c:v>
                </c:pt>
                <c:pt idx="25">
                  <c:v>-1.872220270944247E-4</c:v>
                </c:pt>
                <c:pt idx="26">
                  <c:v>-9.9400460303655791E-5</c:v>
                </c:pt>
                <c:pt idx="27">
                  <c:v>4.6850023178768296E-4</c:v>
                </c:pt>
                <c:pt idx="28">
                  <c:v>9.0013818663314815E-4</c:v>
                </c:pt>
                <c:pt idx="29">
                  <c:v>6.7475326726462725E-4</c:v>
                </c:pt>
                <c:pt idx="30">
                  <c:v>-6.625334587204712E-4</c:v>
                </c:pt>
              </c:numCache>
            </c:numRef>
          </c:yVal>
        </c:ser>
        <c:axId val="47867776"/>
        <c:axId val="47882240"/>
      </c:scatterChart>
      <c:valAx>
        <c:axId val="4786777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Salt Concentration (g/cc)</a:t>
                </a:r>
              </a:p>
            </c:rich>
          </c:tx>
          <c:layout>
            <c:manualLayout>
              <c:xMode val="edge"/>
              <c:yMode val="edge"/>
              <c:x val="0.26666666666666738"/>
              <c:y val="0.86458333333333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882240"/>
        <c:crossesAt val="-1"/>
        <c:crossBetween val="midCat"/>
      </c:valAx>
      <c:valAx>
        <c:axId val="47882240"/>
        <c:scaling>
          <c:orientation val="minMax"/>
          <c:max val="5.0000000000000114E-3"/>
        </c:scaling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Density Error (g/cc)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12847222222222221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86777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0972222222222219"/>
          <c:y val="8.7962962962963215E-2"/>
          <c:w val="0.26153805774278216"/>
          <c:h val="0.2251640419947506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289" l="0.70000000000000062" r="0.70000000000000062" t="0.750000000000002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2708333333333341"/>
          <c:y val="4.8611111111111112E-2"/>
          <c:w val="0.66597222222222263"/>
          <c:h val="0.71527777777777779"/>
        </c:manualLayout>
      </c:layout>
      <c:scatterChart>
        <c:scatterStyle val="lineMarker"/>
        <c:ser>
          <c:idx val="0"/>
          <c:order val="0"/>
          <c:tx>
            <c:v>3.35 salt density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'X. Amy''s NaCl Cal. don''t use'!$B$8:$B$32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10.1</c:v>
                </c:pt>
                <c:pt idx="11">
                  <c:v>12.1</c:v>
                </c:pt>
                <c:pt idx="12">
                  <c:v>14.1</c:v>
                </c:pt>
                <c:pt idx="13">
                  <c:v>16.2</c:v>
                </c:pt>
                <c:pt idx="14">
                  <c:v>18.2</c:v>
                </c:pt>
                <c:pt idx="15">
                  <c:v>20.2</c:v>
                </c:pt>
                <c:pt idx="16">
                  <c:v>24.4</c:v>
                </c:pt>
                <c:pt idx="17">
                  <c:v>28.5</c:v>
                </c:pt>
                <c:pt idx="18">
                  <c:v>30.6</c:v>
                </c:pt>
                <c:pt idx="19">
                  <c:v>32.700000000000003</c:v>
                </c:pt>
                <c:pt idx="22" formatCode="0.00">
                  <c:v>5.8239069892807507</c:v>
                </c:pt>
                <c:pt idx="23" formatCode="0.00">
                  <c:v>14.522130219990506</c:v>
                </c:pt>
                <c:pt idx="24" formatCode="0.00">
                  <c:v>28.915743908557047</c:v>
                </c:pt>
              </c:numCache>
            </c:numRef>
          </c:xVal>
          <c:yVal>
            <c:numRef>
              <c:f>'X. Amy''s NaCl Cal. don''t use'!$F$8:$F$32</c:f>
              <c:numCache>
                <c:formatCode>0.000000</c:formatCode>
                <c:ptCount val="25"/>
                <c:pt idx="0">
                  <c:v>0</c:v>
                </c:pt>
                <c:pt idx="1">
                  <c:v>-8.3279701492688929E-6</c:v>
                </c:pt>
                <c:pt idx="2">
                  <c:v>8.964405970157685E-5</c:v>
                </c:pt>
                <c:pt idx="3">
                  <c:v>8.7616089552211562E-5</c:v>
                </c:pt>
                <c:pt idx="4">
                  <c:v>8.5588119403068319E-5</c:v>
                </c:pt>
                <c:pt idx="5">
                  <c:v>8.3560149253703031E-5</c:v>
                </c:pt>
                <c:pt idx="6">
                  <c:v>8.1532179104337743E-5</c:v>
                </c:pt>
                <c:pt idx="7">
                  <c:v>7.9504208955416544E-5</c:v>
                </c:pt>
                <c:pt idx="8">
                  <c:v>7.7476238806051256E-5</c:v>
                </c:pt>
                <c:pt idx="9">
                  <c:v>7.5448268656685968E-5</c:v>
                </c:pt>
                <c:pt idx="10">
                  <c:v>3.2175014925694967E-6</c:v>
                </c:pt>
                <c:pt idx="11">
                  <c:v>9.9161561194049952E-5</c:v>
                </c:pt>
                <c:pt idx="12">
                  <c:v>9.5105620895541421E-5</c:v>
                </c:pt>
                <c:pt idx="13">
                  <c:v>2.0846883582059661E-5</c:v>
                </c:pt>
                <c:pt idx="14">
                  <c:v>1.679094328355113E-5</c:v>
                </c:pt>
                <c:pt idx="15">
                  <c:v>1.1273500298503158E-4</c:v>
                </c:pt>
                <c:pt idx="16">
                  <c:v>-3.578247164170989E-5</c:v>
                </c:pt>
                <c:pt idx="17">
                  <c:v>-1.4097149253711194E-5</c:v>
                </c:pt>
                <c:pt idx="18">
                  <c:v>-8.8355886567192954E-5</c:v>
                </c:pt>
                <c:pt idx="19">
                  <c:v>-6.2614623880685727E-5</c:v>
                </c:pt>
                <c:pt idx="22">
                  <c:v>9.083231141104875E-5</c:v>
                </c:pt>
                <c:pt idx="23">
                  <c:v>1.0652996030469097E-4</c:v>
                </c:pt>
                <c:pt idx="24">
                  <c:v>-2.8143360082388824E-6</c:v>
                </c:pt>
              </c:numCache>
            </c:numRef>
          </c:yVal>
        </c:ser>
        <c:ser>
          <c:idx val="1"/>
          <c:order val="1"/>
          <c:tx>
            <c:v>Poly fit on fluid density</c:v>
          </c:tx>
          <c:spPr>
            <a:ln w="28575">
              <a:noFill/>
            </a:ln>
          </c:spPr>
          <c:xVal>
            <c:numRef>
              <c:f>'X. Amy''s NaCl Cal. don''t use'!$B$8:$B$27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10.1</c:v>
                </c:pt>
                <c:pt idx="11">
                  <c:v>12.1</c:v>
                </c:pt>
                <c:pt idx="12">
                  <c:v>14.1</c:v>
                </c:pt>
                <c:pt idx="13">
                  <c:v>16.2</c:v>
                </c:pt>
                <c:pt idx="14">
                  <c:v>18.2</c:v>
                </c:pt>
                <c:pt idx="15">
                  <c:v>20.2</c:v>
                </c:pt>
                <c:pt idx="16">
                  <c:v>24.4</c:v>
                </c:pt>
                <c:pt idx="17">
                  <c:v>28.5</c:v>
                </c:pt>
                <c:pt idx="18">
                  <c:v>30.6</c:v>
                </c:pt>
                <c:pt idx="19">
                  <c:v>32.700000000000003</c:v>
                </c:pt>
              </c:numCache>
            </c:numRef>
          </c:xVal>
          <c:yVal>
            <c:numRef>
              <c:f>'X. Amy''s NaCl Cal. don''t use'!$N$8:$N$27</c:f>
              <c:numCache>
                <c:formatCode>0.000000</c:formatCode>
                <c:ptCount val="20"/>
                <c:pt idx="0">
                  <c:v>-3.8131967752152995E-5</c:v>
                </c:pt>
                <c:pt idx="1">
                  <c:v>-1.2764081589899945E-5</c:v>
                </c:pt>
                <c:pt idx="2">
                  <c:v>-9.4279254835072379E-5</c:v>
                </c:pt>
                <c:pt idx="3">
                  <c:v>-7.6377487487455653E-5</c:v>
                </c:pt>
                <c:pt idx="4">
                  <c:v>-5.9058779547704887E-5</c:v>
                </c:pt>
                <c:pt idx="5">
                  <c:v>-4.2323131014931903E-5</c:v>
                </c:pt>
                <c:pt idx="6">
                  <c:v>-2.617054188958079E-5</c:v>
                </c:pt>
                <c:pt idx="7">
                  <c:v>-1.0601012171873592E-5</c:v>
                </c:pt>
                <c:pt idx="8">
                  <c:v>4.3854581386337799E-6</c:v>
                </c:pt>
                <c:pt idx="9">
                  <c:v>1.8788869041719281E-5</c:v>
                </c:pt>
                <c:pt idx="10">
                  <c:v>1.039591874192336E-4</c:v>
                </c:pt>
                <c:pt idx="11">
                  <c:v>2.9734100306821887E-5</c:v>
                </c:pt>
                <c:pt idx="12">
                  <c:v>5.3176775564711676E-5</c:v>
                </c:pt>
                <c:pt idx="13">
                  <c:v>1.4528151383652599E-4</c:v>
                </c:pt>
                <c:pt idx="14">
                  <c:v>1.6394310195355644E-4</c:v>
                </c:pt>
                <c:pt idx="15">
                  <c:v>8.0272452441132458E-5</c:v>
                </c:pt>
                <c:pt idx="16">
                  <c:v>2.4697265498008214E-4</c:v>
                </c:pt>
                <c:pt idx="17">
                  <c:v>2.3311638259415624E-4</c:v>
                </c:pt>
                <c:pt idx="18">
                  <c:v>3.0758940438602167E-4</c:v>
                </c:pt>
                <c:pt idx="19">
                  <c:v>2.7949113419123428E-4</c:v>
                </c:pt>
              </c:numCache>
            </c:numRef>
          </c:yVal>
        </c:ser>
        <c:ser>
          <c:idx val="2"/>
          <c:order val="2"/>
          <c:tx>
            <c:v>Poly fit on salt density</c:v>
          </c:tx>
          <c:spPr>
            <a:ln w="28575">
              <a:noFill/>
            </a:ln>
          </c:spPr>
          <c:xVal>
            <c:numRef>
              <c:f>'X. Amy''s NaCl Cal. don''t use'!$B$8:$B$27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10.1</c:v>
                </c:pt>
                <c:pt idx="11">
                  <c:v>12.1</c:v>
                </c:pt>
                <c:pt idx="12">
                  <c:v>14.1</c:v>
                </c:pt>
                <c:pt idx="13">
                  <c:v>16.2</c:v>
                </c:pt>
                <c:pt idx="14">
                  <c:v>18.2</c:v>
                </c:pt>
                <c:pt idx="15">
                  <c:v>20.2</c:v>
                </c:pt>
                <c:pt idx="16">
                  <c:v>24.4</c:v>
                </c:pt>
                <c:pt idx="17">
                  <c:v>28.5</c:v>
                </c:pt>
                <c:pt idx="18">
                  <c:v>30.6</c:v>
                </c:pt>
                <c:pt idx="19">
                  <c:v>32.700000000000003</c:v>
                </c:pt>
              </c:numCache>
            </c:numRef>
          </c:xVal>
          <c:yVal>
            <c:numRef>
              <c:f>'X. Amy''s NaCl Cal. don''t use'!$K$8:$K$27</c:f>
              <c:numCache>
                <c:formatCode>0.000000</c:formatCode>
                <c:ptCount val="20"/>
                <c:pt idx="0">
                  <c:v>0</c:v>
                </c:pt>
                <c:pt idx="1">
                  <c:v>4.2014464513018268E-6</c:v>
                </c:pt>
                <c:pt idx="2">
                  <c:v>-9.8156901278567688E-5</c:v>
                </c:pt>
                <c:pt idx="3">
                  <c:v>-1.0077641829386863E-4</c:v>
                </c:pt>
                <c:pt idx="4">
                  <c:v>-1.0365848386650889E-4</c:v>
                </c:pt>
                <c:pt idx="5">
                  <c:v>-1.0680448146027643E-4</c:v>
                </c:pt>
                <c:pt idx="6">
                  <c:v>-1.1021579875647447E-4</c:v>
                </c:pt>
                <c:pt idx="7">
                  <c:v>-1.1389382767901246E-4</c:v>
                </c:pt>
                <c:pt idx="8">
                  <c:v>-1.1783996441838696E-4</c:v>
                </c:pt>
                <c:pt idx="9">
                  <c:v>-1.2205560945899308E-4</c:v>
                </c:pt>
                <c:pt idx="10">
                  <c:v>-5.7005777852836559E-5</c:v>
                </c:pt>
                <c:pt idx="11">
                  <c:v>-1.6685203579269725E-4</c:v>
                </c:pt>
                <c:pt idx="12">
                  <c:v>-1.7779948100771215E-4</c:v>
                </c:pt>
                <c:pt idx="13">
                  <c:v>-1.2049192608731829E-4</c:v>
                </c:pt>
                <c:pt idx="14">
                  <c:v>-1.3373252310167061E-4</c:v>
                </c:pt>
                <c:pt idx="15">
                  <c:v>-2.4810930251062402E-4</c:v>
                </c:pt>
                <c:pt idx="16">
                  <c:v>-1.420506009204292E-4</c:v>
                </c:pt>
                <c:pt idx="17">
                  <c:v>-2.1017033822268161E-4</c:v>
                </c:pt>
                <c:pt idx="18">
                  <c:v>-1.616364579655194E-4</c:v>
                </c:pt>
                <c:pt idx="19">
                  <c:v>-2.1443599850767825E-4</c:v>
                </c:pt>
              </c:numCache>
            </c:numRef>
          </c:yVal>
        </c:ser>
        <c:axId val="47981696"/>
        <c:axId val="47983616"/>
      </c:scatterChart>
      <c:valAx>
        <c:axId val="4798169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Salt Concentration (g/cc)</a:t>
                </a:r>
              </a:p>
            </c:rich>
          </c:tx>
          <c:layout>
            <c:manualLayout>
              <c:xMode val="edge"/>
              <c:yMode val="edge"/>
              <c:x val="0.26666666666666738"/>
              <c:y val="0.86458333333333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983616"/>
        <c:crossesAt val="-1"/>
        <c:crossBetween val="midCat"/>
      </c:valAx>
      <c:valAx>
        <c:axId val="4798361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Density Error (g/cc)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12847222222222221"/>
            </c:manualLayout>
          </c:layout>
          <c:spPr>
            <a:noFill/>
            <a:ln w="25400">
              <a:noFill/>
            </a:ln>
          </c:spPr>
        </c:title>
        <c:numFmt formatCode="0.0000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9816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98611111111113"/>
          <c:y val="8.2175925925925944E-2"/>
          <c:w val="0.26132983377078023"/>
          <c:h val="0.2251640419947506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289" l="0.70000000000000062" r="0.70000000000000062" t="0.750000000000002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'X. Amy''s NaCl Cal. don''t use'!$B$8:$B$38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10.1</c:v>
                </c:pt>
                <c:pt idx="11">
                  <c:v>12.1</c:v>
                </c:pt>
                <c:pt idx="12">
                  <c:v>14.1</c:v>
                </c:pt>
                <c:pt idx="13">
                  <c:v>16.2</c:v>
                </c:pt>
                <c:pt idx="14">
                  <c:v>18.2</c:v>
                </c:pt>
                <c:pt idx="15">
                  <c:v>20.2</c:v>
                </c:pt>
                <c:pt idx="16">
                  <c:v>24.4</c:v>
                </c:pt>
                <c:pt idx="17">
                  <c:v>28.5</c:v>
                </c:pt>
                <c:pt idx="18">
                  <c:v>30.6</c:v>
                </c:pt>
                <c:pt idx="19">
                  <c:v>32.700000000000003</c:v>
                </c:pt>
                <c:pt idx="22" formatCode="0.00">
                  <c:v>5.8239069892807507</c:v>
                </c:pt>
                <c:pt idx="23" formatCode="0.00">
                  <c:v>14.522130219990506</c:v>
                </c:pt>
                <c:pt idx="24" formatCode="0.00">
                  <c:v>28.915743908557047</c:v>
                </c:pt>
                <c:pt idx="25" formatCode="0.00">
                  <c:v>43.176740486694293</c:v>
                </c:pt>
                <c:pt idx="26" formatCode="0.00">
                  <c:v>57.302347198931358</c:v>
                </c:pt>
                <c:pt idx="27" formatCode="0.00">
                  <c:v>112.41556815521912</c:v>
                </c:pt>
                <c:pt idx="28" formatCode="0.00">
                  <c:v>165.27107321101136</c:v>
                </c:pt>
                <c:pt idx="29" formatCode="0.00">
                  <c:v>215.88457823850413</c:v>
                </c:pt>
                <c:pt idx="30" formatCode="0.00">
                  <c:v>264.32984326652041</c:v>
                </c:pt>
              </c:numCache>
            </c:numRef>
          </c:xVal>
          <c:yVal>
            <c:numRef>
              <c:f>'X. Amy''s NaCl Cal. don''t use'!$G$8:$G$38</c:f>
              <c:numCache>
                <c:formatCode>0.000</c:formatCode>
                <c:ptCount val="31"/>
                <c:pt idx="0">
                  <c:v>3.35</c:v>
                </c:pt>
                <c:pt idx="1">
                  <c:v>3.9259550614792391</c:v>
                </c:pt>
                <c:pt idx="2">
                  <c:v>3.991896814090361</c:v>
                </c:pt>
                <c:pt idx="3">
                  <c:v>3.95410391017412</c:v>
                </c:pt>
                <c:pt idx="4">
                  <c:v>3.8928250999554943</c:v>
                </c:pt>
                <c:pt idx="5">
                  <c:v>3.8248354198566248</c:v>
                </c:pt>
                <c:pt idx="6">
                  <c:v>3.7341782398195571</c:v>
                </c:pt>
                <c:pt idx="7">
                  <c:v>3.669871946645729</c:v>
                </c:pt>
                <c:pt idx="8">
                  <c:v>3.6064319876917641</c:v>
                </c:pt>
                <c:pt idx="9">
                  <c:v>3.5446116532312022</c:v>
                </c:pt>
                <c:pt idx="10">
                  <c:v>3.4847721687045139</c:v>
                </c:pt>
                <c:pt idx="11">
                  <c:v>3.4270693965317705</c:v>
                </c:pt>
                <c:pt idx="12">
                  <c:v>3.3715468070676806</c:v>
                </c:pt>
                <c:pt idx="13">
                  <c:v>3.3160242176035899</c:v>
                </c:pt>
                <c:pt idx="14">
                  <c:v>3.2605016281395001</c:v>
                </c:pt>
                <c:pt idx="15">
                  <c:v>3.2049790386754098</c:v>
                </c:pt>
                <c:pt idx="16">
                  <c:v>3.14945644921132</c:v>
                </c:pt>
                <c:pt idx="17">
                  <c:v>3.0939338597472301</c:v>
                </c:pt>
                <c:pt idx="18">
                  <c:v>3.0384112702831398</c:v>
                </c:pt>
                <c:pt idx="19">
                  <c:v>2.98288868081905</c:v>
                </c:pt>
                <c:pt idx="22">
                  <c:v>3.4270693965317705</c:v>
                </c:pt>
                <c:pt idx="23">
                  <c:v>3.3715468070676806</c:v>
                </c:pt>
                <c:pt idx="24">
                  <c:v>3.3160242176035899</c:v>
                </c:pt>
                <c:pt idx="25">
                  <c:v>3.2605016281395001</c:v>
                </c:pt>
                <c:pt idx="26">
                  <c:v>3.2049790386754098</c:v>
                </c:pt>
                <c:pt idx="27">
                  <c:v>3.14945644921132</c:v>
                </c:pt>
                <c:pt idx="28">
                  <c:v>3.0939338597472301</c:v>
                </c:pt>
                <c:pt idx="29">
                  <c:v>3.0384112702831398</c:v>
                </c:pt>
                <c:pt idx="30">
                  <c:v>2.98288868081905</c:v>
                </c:pt>
              </c:numCache>
            </c:numRef>
          </c:yVal>
        </c:ser>
        <c:axId val="47851776"/>
        <c:axId val="48013312"/>
      </c:scatterChart>
      <c:valAx>
        <c:axId val="47851776"/>
        <c:scaling>
          <c:orientation val="minMax"/>
        </c:scaling>
        <c:axPos val="b"/>
        <c:numFmt formatCode="General" sourceLinked="1"/>
        <c:tickLblPos val="nextTo"/>
        <c:crossAx val="48013312"/>
        <c:crosses val="autoZero"/>
        <c:crossBetween val="midCat"/>
      </c:valAx>
      <c:valAx>
        <c:axId val="48013312"/>
        <c:scaling>
          <c:orientation val="minMax"/>
        </c:scaling>
        <c:axPos val="l"/>
        <c:majorGridlines/>
        <c:numFmt formatCode="0.000" sourceLinked="1"/>
        <c:tickLblPos val="nextTo"/>
        <c:crossAx val="4785177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scatterChart>
        <c:scatterStyle val="smoothMarker"/>
        <c:ser>
          <c:idx val="1"/>
          <c:order val="0"/>
          <c:tx>
            <c:strRef>
              <c:f>'x. Other datasets - dont use'!$G$46</c:f>
              <c:strCache>
                <c:ptCount val="1"/>
                <c:pt idx="0">
                  <c:v>Density of SW (g/cm3)</c:v>
                </c:pt>
              </c:strCache>
            </c:strRef>
          </c:tx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42654825878723901"/>
                  <c:y val="8.0952380952381026E-2"/>
                </c:manualLayout>
              </c:layout>
              <c:numFmt formatCode="0.0000000E+00" sourceLinked="0"/>
            </c:trendlineLbl>
          </c:trendline>
          <c:xVal>
            <c:numRef>
              <c:f>'x. Other datasets - dont use'!$A$16:$A$27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10</c:v>
                </c:pt>
                <c:pt idx="3">
                  <c:v>16</c:v>
                </c:pt>
                <c:pt idx="4">
                  <c:v>20</c:v>
                </c:pt>
                <c:pt idx="5">
                  <c:v>32</c:v>
                </c:pt>
                <c:pt idx="6">
                  <c:v>64</c:v>
                </c:pt>
                <c:pt idx="7">
                  <c:v>80</c:v>
                </c:pt>
                <c:pt idx="8">
                  <c:v>100</c:v>
                </c:pt>
                <c:pt idx="9">
                  <c:v>128</c:v>
                </c:pt>
                <c:pt idx="10">
                  <c:v>200</c:v>
                </c:pt>
                <c:pt idx="11">
                  <c:v>256</c:v>
                </c:pt>
              </c:numCache>
            </c:numRef>
          </c:xVal>
          <c:yVal>
            <c:numRef>
              <c:f>'x. Other datasets - dont use'!$C$16:$C$27</c:f>
              <c:numCache>
                <c:formatCode>General</c:formatCode>
                <c:ptCount val="12"/>
                <c:pt idx="0">
                  <c:v>0.99906016037839984</c:v>
                </c:pt>
                <c:pt idx="1">
                  <c:v>1.0012211371933999</c:v>
                </c:pt>
                <c:pt idx="2">
                  <c:v>1.0055600857573999</c:v>
                </c:pt>
                <c:pt idx="3">
                  <c:v>1.0099216942333997</c:v>
                </c:pt>
                <c:pt idx="4">
                  <c:v>1.0128420220573999</c:v>
                </c:pt>
                <c:pt idx="5">
                  <c:v>1.0216634319614</c:v>
                </c:pt>
                <c:pt idx="6">
                  <c:v>1.0456303188734</c:v>
                </c:pt>
                <c:pt idx="7">
                  <c:v>1.0578554680573999</c:v>
                </c:pt>
                <c:pt idx="8">
                  <c:v>1.0733635036574001</c:v>
                </c:pt>
                <c:pt idx="9">
                  <c:v>1.0954977385213998</c:v>
                </c:pt>
                <c:pt idx="10">
                  <c:v>1.1546803336573996</c:v>
                </c:pt>
                <c:pt idx="11">
                  <c:v>1.2029671611133999</c:v>
                </c:pt>
              </c:numCache>
            </c:numRef>
          </c:yVal>
          <c:smooth val="1"/>
        </c:ser>
        <c:axId val="47661440"/>
        <c:axId val="47662976"/>
      </c:scatterChart>
      <c:valAx>
        <c:axId val="47661440"/>
        <c:scaling>
          <c:orientation val="minMax"/>
        </c:scaling>
        <c:axPos val="b"/>
        <c:numFmt formatCode="General" sourceLinked="1"/>
        <c:tickLblPos val="nextTo"/>
        <c:crossAx val="47662976"/>
        <c:crosses val="autoZero"/>
        <c:crossBetween val="midCat"/>
      </c:valAx>
      <c:valAx>
        <c:axId val="47662976"/>
        <c:scaling>
          <c:orientation val="minMax"/>
        </c:scaling>
        <c:axPos val="l"/>
        <c:majorGridlines/>
        <c:numFmt formatCode="General" sourceLinked="1"/>
        <c:tickLblPos val="nextTo"/>
        <c:crossAx val="4766144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scatterChart>
        <c:scatterStyle val="smoothMarker"/>
        <c:ser>
          <c:idx val="1"/>
          <c:order val="0"/>
          <c:tx>
            <c:strRef>
              <c:f>'x. Other datasets - dont use'!$G$46</c:f>
              <c:strCache>
                <c:ptCount val="1"/>
                <c:pt idx="0">
                  <c:v>Density of SW (g/cm3)</c:v>
                </c:pt>
              </c:strCache>
            </c:strRef>
          </c:tx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42654825878723901"/>
                  <c:y val="8.0952380952381026E-2"/>
                </c:manualLayout>
              </c:layout>
              <c:numFmt formatCode="0.0000000E+00" sourceLinked="0"/>
            </c:trendlineLbl>
          </c:trendline>
          <c:xVal>
            <c:numRef>
              <c:f>'x. Other datasets - dont use'!$A$47:$A$58</c:f>
              <c:numCache>
                <c:formatCode>General</c:formatCode>
                <c:ptCount val="12"/>
                <c:pt idx="0">
                  <c:v>8.6069999999999993</c:v>
                </c:pt>
                <c:pt idx="1">
                  <c:v>10.943</c:v>
                </c:pt>
                <c:pt idx="2">
                  <c:v>15.741</c:v>
                </c:pt>
                <c:pt idx="3">
                  <c:v>17.706</c:v>
                </c:pt>
                <c:pt idx="4">
                  <c:v>22.93</c:v>
                </c:pt>
              </c:numCache>
            </c:numRef>
          </c:xVal>
          <c:yVal>
            <c:numRef>
              <c:f>'x. Other datasets - dont use'!$C$47:$C$58</c:f>
              <c:numCache>
                <c:formatCode>General</c:formatCode>
                <c:ptCount val="12"/>
                <c:pt idx="0">
                  <c:v>1.0065009999999999</c:v>
                </c:pt>
                <c:pt idx="1">
                  <c:v>1.0082630000000001</c:v>
                </c:pt>
                <c:pt idx="2">
                  <c:v>1.011873</c:v>
                </c:pt>
                <c:pt idx="3">
                  <c:v>1.0133570000000001</c:v>
                </c:pt>
                <c:pt idx="4">
                  <c:v>1.0172909999999999</c:v>
                </c:pt>
              </c:numCache>
            </c:numRef>
          </c:yVal>
          <c:smooth val="1"/>
        </c:ser>
        <c:axId val="47683840"/>
        <c:axId val="47706112"/>
      </c:scatterChart>
      <c:valAx>
        <c:axId val="47683840"/>
        <c:scaling>
          <c:orientation val="minMax"/>
        </c:scaling>
        <c:axPos val="b"/>
        <c:numFmt formatCode="General" sourceLinked="1"/>
        <c:tickLblPos val="nextTo"/>
        <c:crossAx val="47706112"/>
        <c:crosses val="autoZero"/>
        <c:crossBetween val="midCat"/>
      </c:valAx>
      <c:valAx>
        <c:axId val="47706112"/>
        <c:scaling>
          <c:orientation val="minMax"/>
        </c:scaling>
        <c:axPos val="l"/>
        <c:majorGridlines/>
        <c:numFmt formatCode="General" sourceLinked="1"/>
        <c:tickLblPos val="nextTo"/>
        <c:crossAx val="4768384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189" r="0.75000000000000189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/>
      <c:scatterChart>
        <c:scatterStyle val="smoothMarker"/>
        <c:ser>
          <c:idx val="1"/>
          <c:order val="0"/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45839698162729836"/>
                  <c:y val="-2.693241469816271E-2"/>
                </c:manualLayout>
              </c:layout>
              <c:numFmt formatCode="0.0000000E+00" sourceLinked="0"/>
            </c:trendlineLbl>
          </c:trendline>
          <c:xVal>
            <c:numRef>
              <c:f>'x. Other datasets - dont use'!$C$85:$C$89</c:f>
              <c:numCache>
                <c:formatCode>General</c:formatCode>
                <c:ptCount val="5"/>
                <c:pt idx="0">
                  <c:v>1.001277</c:v>
                </c:pt>
                <c:pt idx="1">
                  <c:v>1.0103599999999999</c:v>
                </c:pt>
                <c:pt idx="2">
                  <c:v>1.0225040000000001</c:v>
                </c:pt>
                <c:pt idx="3">
                  <c:v>1.047112</c:v>
                </c:pt>
                <c:pt idx="4">
                  <c:v>1.0981079999999999</c:v>
                </c:pt>
              </c:numCache>
            </c:numRef>
          </c:xVal>
          <c:yVal>
            <c:numRef>
              <c:f>'x. Other datasets - dont use'!$A$85:$A$89</c:f>
              <c:numCache>
                <c:formatCode>General</c:formatCode>
                <c:ptCount val="5"/>
                <c:pt idx="0">
                  <c:v>4</c:v>
                </c:pt>
                <c:pt idx="1">
                  <c:v>16</c:v>
                </c:pt>
                <c:pt idx="2">
                  <c:v>32</c:v>
                </c:pt>
                <c:pt idx="3">
                  <c:v>64</c:v>
                </c:pt>
                <c:pt idx="4">
                  <c:v>128</c:v>
                </c:pt>
              </c:numCache>
            </c:numRef>
          </c:yVal>
          <c:smooth val="1"/>
        </c:ser>
        <c:axId val="47731072"/>
        <c:axId val="47732608"/>
      </c:scatterChart>
      <c:valAx>
        <c:axId val="47731072"/>
        <c:scaling>
          <c:orientation val="minMax"/>
        </c:scaling>
        <c:axPos val="b"/>
        <c:numFmt formatCode="General" sourceLinked="1"/>
        <c:tickLblPos val="nextTo"/>
        <c:crossAx val="47732608"/>
        <c:crosses val="autoZero"/>
        <c:crossBetween val="midCat"/>
      </c:valAx>
      <c:valAx>
        <c:axId val="47732608"/>
        <c:scaling>
          <c:orientation val="minMax"/>
        </c:scaling>
        <c:axPos val="l"/>
        <c:majorGridlines/>
        <c:numFmt formatCode="General" sourceLinked="1"/>
        <c:tickLblPos val="nextTo"/>
        <c:crossAx val="4773107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189" r="0.75000000000000189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scatterChart>
        <c:scatterStyle val="smoothMarker"/>
        <c:ser>
          <c:idx val="1"/>
          <c:order val="0"/>
          <c:tx>
            <c:strRef>
              <c:f>'x. Other datasets - dont use'!$B$130</c:f>
              <c:strCache>
                <c:ptCount val="1"/>
                <c:pt idx="0">
                  <c:v>rho of fluid (g/cm3)</c:v>
                </c:pt>
              </c:strCache>
            </c:strRef>
          </c:tx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45839698162729836"/>
                  <c:y val="-2.693241469816271E-2"/>
                </c:manualLayout>
              </c:layout>
              <c:numFmt formatCode="0.0000000E+00" sourceLinked="0"/>
            </c:trendlineLbl>
          </c:trendline>
          <c:xVal>
            <c:numRef>
              <c:f>'x. Other datasets - dont use'!$A$131:$A$142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10</c:v>
                </c:pt>
                <c:pt idx="3">
                  <c:v>16</c:v>
                </c:pt>
                <c:pt idx="4">
                  <c:v>20</c:v>
                </c:pt>
                <c:pt idx="5">
                  <c:v>32</c:v>
                </c:pt>
                <c:pt idx="6">
                  <c:v>64</c:v>
                </c:pt>
                <c:pt idx="7">
                  <c:v>80</c:v>
                </c:pt>
                <c:pt idx="8">
                  <c:v>100</c:v>
                </c:pt>
                <c:pt idx="9">
                  <c:v>128</c:v>
                </c:pt>
                <c:pt idx="10">
                  <c:v>200</c:v>
                </c:pt>
                <c:pt idx="11">
                  <c:v>256</c:v>
                </c:pt>
              </c:numCache>
            </c:numRef>
          </c:xVal>
          <c:yVal>
            <c:numRef>
              <c:f>'x. Other datasets - dont use'!$B$131:$B$142</c:f>
              <c:numCache>
                <c:formatCode>General</c:formatCode>
                <c:ptCount val="12"/>
                <c:pt idx="0">
                  <c:v>0.999</c:v>
                </c:pt>
                <c:pt idx="1">
                  <c:v>1.0012000000000001</c:v>
                </c:pt>
                <c:pt idx="2">
                  <c:v>1.0058</c:v>
                </c:pt>
                <c:pt idx="3">
                  <c:v>1.0103</c:v>
                </c:pt>
                <c:pt idx="4">
                  <c:v>1.0134000000000001</c:v>
                </c:pt>
                <c:pt idx="5">
                  <c:v>1.0225</c:v>
                </c:pt>
                <c:pt idx="6">
                  <c:v>1.0470999999999999</c:v>
                </c:pt>
                <c:pt idx="7">
                  <c:v>1.0596000000000001</c:v>
                </c:pt>
                <c:pt idx="8">
                  <c:v>1.0754999999999999</c:v>
                </c:pt>
                <c:pt idx="9">
                  <c:v>1.0981000000000001</c:v>
                </c:pt>
                <c:pt idx="10">
                  <c:v>1.1588000000000001</c:v>
                </c:pt>
                <c:pt idx="11">
                  <c:v>1.2085999999999999</c:v>
                </c:pt>
              </c:numCache>
            </c:numRef>
          </c:yVal>
          <c:smooth val="1"/>
        </c:ser>
        <c:axId val="47761280"/>
        <c:axId val="47762816"/>
      </c:scatterChart>
      <c:valAx>
        <c:axId val="47761280"/>
        <c:scaling>
          <c:orientation val="minMax"/>
        </c:scaling>
        <c:axPos val="b"/>
        <c:numFmt formatCode="General" sourceLinked="1"/>
        <c:tickLblPos val="nextTo"/>
        <c:crossAx val="47762816"/>
        <c:crosses val="autoZero"/>
        <c:crossBetween val="midCat"/>
      </c:valAx>
      <c:valAx>
        <c:axId val="47762816"/>
        <c:scaling>
          <c:orientation val="minMax"/>
        </c:scaling>
        <c:axPos val="l"/>
        <c:majorGridlines/>
        <c:numFmt formatCode="General" sourceLinked="1"/>
        <c:tickLblPos val="nextTo"/>
        <c:crossAx val="4776128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1" l="0.75000000000000189" r="0.750000000000001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2708333333333341"/>
          <c:y val="4.8611111111111112E-2"/>
          <c:w val="0.66597222222222263"/>
          <c:h val="0.71527777777777779"/>
        </c:manualLayout>
      </c:layout>
      <c:scatterChart>
        <c:scatterStyle val="lineMarker"/>
        <c:ser>
          <c:idx val="0"/>
          <c:order val="0"/>
          <c:tx>
            <c:v>3.35 salt density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'3. NaCl Density fit'!$B$8:$B$32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10.1</c:v>
                </c:pt>
                <c:pt idx="11">
                  <c:v>12.1</c:v>
                </c:pt>
                <c:pt idx="12">
                  <c:v>14.1</c:v>
                </c:pt>
                <c:pt idx="13">
                  <c:v>16.2</c:v>
                </c:pt>
                <c:pt idx="14">
                  <c:v>18.2</c:v>
                </c:pt>
                <c:pt idx="15">
                  <c:v>20.2</c:v>
                </c:pt>
                <c:pt idx="16">
                  <c:v>24.4</c:v>
                </c:pt>
                <c:pt idx="17">
                  <c:v>28.5</c:v>
                </c:pt>
                <c:pt idx="18">
                  <c:v>30.6</c:v>
                </c:pt>
                <c:pt idx="19">
                  <c:v>32.700000000000003</c:v>
                </c:pt>
                <c:pt idx="22" formatCode="0.00">
                  <c:v>5.8239069892807507</c:v>
                </c:pt>
                <c:pt idx="23" formatCode="0.00">
                  <c:v>14.522130219990506</c:v>
                </c:pt>
                <c:pt idx="24" formatCode="0.00">
                  <c:v>28.915743908557047</c:v>
                </c:pt>
              </c:numCache>
            </c:numRef>
          </c:xVal>
          <c:yVal>
            <c:numRef>
              <c:f>'3. NaCl Density fit'!$E$8:$E$32</c:f>
              <c:numCache>
                <c:formatCode>0.000000</c:formatCode>
                <c:ptCount val="25"/>
                <c:pt idx="0">
                  <c:v>0</c:v>
                </c:pt>
                <c:pt idx="1">
                  <c:v>-8.3279701492688929E-6</c:v>
                </c:pt>
                <c:pt idx="2">
                  <c:v>8.964405970157685E-5</c:v>
                </c:pt>
                <c:pt idx="3">
                  <c:v>8.7616089552211562E-5</c:v>
                </c:pt>
                <c:pt idx="4">
                  <c:v>8.5588119403068319E-5</c:v>
                </c:pt>
                <c:pt idx="5">
                  <c:v>8.3560149253703031E-5</c:v>
                </c:pt>
                <c:pt idx="6">
                  <c:v>8.1532179104337743E-5</c:v>
                </c:pt>
                <c:pt idx="7">
                  <c:v>7.9504208955416544E-5</c:v>
                </c:pt>
                <c:pt idx="8">
                  <c:v>7.7476238806051256E-5</c:v>
                </c:pt>
                <c:pt idx="9">
                  <c:v>7.5448268656685968E-5</c:v>
                </c:pt>
                <c:pt idx="10">
                  <c:v>3.2175014925694967E-6</c:v>
                </c:pt>
                <c:pt idx="11">
                  <c:v>9.9161561194049952E-5</c:v>
                </c:pt>
                <c:pt idx="12">
                  <c:v>9.5105620895541421E-5</c:v>
                </c:pt>
                <c:pt idx="13">
                  <c:v>2.0846883582059661E-5</c:v>
                </c:pt>
                <c:pt idx="14">
                  <c:v>1.679094328355113E-5</c:v>
                </c:pt>
                <c:pt idx="15">
                  <c:v>1.1273500298503158E-4</c:v>
                </c:pt>
                <c:pt idx="16">
                  <c:v>-3.578247164170989E-5</c:v>
                </c:pt>
                <c:pt idx="17">
                  <c:v>-1.4097149253711194E-5</c:v>
                </c:pt>
                <c:pt idx="18">
                  <c:v>-8.8355886567192954E-5</c:v>
                </c:pt>
                <c:pt idx="19">
                  <c:v>-6.2614623880685727E-5</c:v>
                </c:pt>
                <c:pt idx="22">
                  <c:v>9.083231141104875E-5</c:v>
                </c:pt>
                <c:pt idx="23">
                  <c:v>1.0652996030469097E-4</c:v>
                </c:pt>
                <c:pt idx="24">
                  <c:v>-2.8143360082388824E-6</c:v>
                </c:pt>
              </c:numCache>
            </c:numRef>
          </c:yVal>
        </c:ser>
        <c:ser>
          <c:idx val="1"/>
          <c:order val="1"/>
          <c:tx>
            <c:v>Poly fit on fluid density</c:v>
          </c:tx>
          <c:spPr>
            <a:ln w="28575">
              <a:noFill/>
            </a:ln>
          </c:spPr>
          <c:xVal>
            <c:numRef>
              <c:f>'3. NaCl Density fit'!$B$8:$B$27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10.1</c:v>
                </c:pt>
                <c:pt idx="11">
                  <c:v>12.1</c:v>
                </c:pt>
                <c:pt idx="12">
                  <c:v>14.1</c:v>
                </c:pt>
                <c:pt idx="13">
                  <c:v>16.2</c:v>
                </c:pt>
                <c:pt idx="14">
                  <c:v>18.2</c:v>
                </c:pt>
                <c:pt idx="15">
                  <c:v>20.2</c:v>
                </c:pt>
                <c:pt idx="16">
                  <c:v>24.4</c:v>
                </c:pt>
                <c:pt idx="17">
                  <c:v>28.5</c:v>
                </c:pt>
                <c:pt idx="18">
                  <c:v>30.6</c:v>
                </c:pt>
                <c:pt idx="19">
                  <c:v>32.700000000000003</c:v>
                </c:pt>
              </c:numCache>
            </c:numRef>
          </c:xVal>
          <c:yVal>
            <c:numRef>
              <c:f>'3. NaCl Density fit'!$L$8:$L$27</c:f>
              <c:numCache>
                <c:formatCode>0.000000</c:formatCode>
                <c:ptCount val="20"/>
                <c:pt idx="0">
                  <c:v>-2.9999999995311555E-7</c:v>
                </c:pt>
                <c:pt idx="1">
                  <c:v>7.9800000000185278E-6</c:v>
                </c:pt>
                <c:pt idx="2">
                  <c:v>-9.0480000000003891E-5</c:v>
                </c:pt>
                <c:pt idx="3">
                  <c:v>-8.9379999999916748E-5</c:v>
                </c:pt>
                <c:pt idx="4">
                  <c:v>-8.8720000000153121E-5</c:v>
                </c:pt>
                <c:pt idx="5">
                  <c:v>-8.8499999999935852E-5</c:v>
                </c:pt>
                <c:pt idx="6">
                  <c:v>-8.8719999999931076E-5</c:v>
                </c:pt>
                <c:pt idx="7">
                  <c:v>-8.9380000000138793E-5</c:v>
                </c:pt>
                <c:pt idx="8">
                  <c:v>-9.0479999999892868E-5</c:v>
                </c:pt>
                <c:pt idx="9">
                  <c:v>-9.2019999999859436E-5</c:v>
                </c:pt>
                <c:pt idx="10">
                  <c:v>-2.422219999997921E-5</c:v>
                </c:pt>
                <c:pt idx="11">
                  <c:v>-1.2959019999980725E-4</c:v>
                </c:pt>
                <c:pt idx="12">
                  <c:v>-1.3671820000005219E-4</c:v>
                </c:pt>
                <c:pt idx="13">
                  <c:v>-7.6096799999980647E-5</c:v>
                </c:pt>
                <c:pt idx="14">
                  <c:v>-8.6832799999880805E-5</c:v>
                </c:pt>
                <c:pt idx="15">
                  <c:v>-1.9932879999995379E-4</c:v>
                </c:pt>
                <c:pt idx="16">
                  <c:v>-9.1299199999950176E-5</c:v>
                </c:pt>
                <c:pt idx="17">
                  <c:v>-1.5999499999996836E-4</c:v>
                </c:pt>
                <c:pt idx="18">
                  <c:v>-1.1267920000013198E-4</c:v>
                </c:pt>
                <c:pt idx="19">
                  <c:v>-1.6730379999985168E-4</c:v>
                </c:pt>
              </c:numCache>
            </c:numRef>
          </c:yVal>
        </c:ser>
        <c:ser>
          <c:idx val="2"/>
          <c:order val="2"/>
          <c:tx>
            <c:v>Poly fit on salt density</c:v>
          </c:tx>
          <c:spPr>
            <a:ln w="28575">
              <a:noFill/>
            </a:ln>
          </c:spPr>
          <c:xVal>
            <c:numRef>
              <c:f>'3. NaCl Density fit'!$B$8:$B$27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10.1</c:v>
                </c:pt>
                <c:pt idx="11">
                  <c:v>12.1</c:v>
                </c:pt>
                <c:pt idx="12">
                  <c:v>14.1</c:v>
                </c:pt>
                <c:pt idx="13">
                  <c:v>16.2</c:v>
                </c:pt>
                <c:pt idx="14">
                  <c:v>18.2</c:v>
                </c:pt>
                <c:pt idx="15">
                  <c:v>20.2</c:v>
                </c:pt>
                <c:pt idx="16">
                  <c:v>24.4</c:v>
                </c:pt>
                <c:pt idx="17">
                  <c:v>28.5</c:v>
                </c:pt>
                <c:pt idx="18">
                  <c:v>30.6</c:v>
                </c:pt>
                <c:pt idx="19">
                  <c:v>32.700000000000003</c:v>
                </c:pt>
              </c:numCache>
            </c:numRef>
          </c:xVal>
          <c:yVal>
            <c:numRef>
              <c:f>'3. NaCl Density fit'!$J$8:$J$27</c:f>
              <c:numCache>
                <c:formatCode>0.000000</c:formatCode>
                <c:ptCount val="20"/>
                <c:pt idx="0">
                  <c:v>0</c:v>
                </c:pt>
                <c:pt idx="1">
                  <c:v>1.2468105399676688E-5</c:v>
                </c:pt>
                <c:pt idx="2">
                  <c:v>-8.1847506133714276E-5</c:v>
                </c:pt>
                <c:pt idx="3">
                  <c:v>-7.6646988723449994E-5</c:v>
                </c:pt>
                <c:pt idx="4">
                  <c:v>-7.1930493574345888E-5</c:v>
                </c:pt>
                <c:pt idx="5">
                  <c:v>-6.7698168958019167E-5</c:v>
                </c:pt>
                <c:pt idx="6">
                  <c:v>-6.3950160199999218E-5</c:v>
                </c:pt>
                <c:pt idx="7">
                  <c:v>-6.0686609665294711E-5</c:v>
                </c:pt>
                <c:pt idx="8">
                  <c:v>-5.790765674440479E-5</c:v>
                </c:pt>
                <c:pt idx="9">
                  <c:v>-5.5613437840218438E-5</c:v>
                </c:pt>
                <c:pt idx="10">
                  <c:v>1.6350176041513009E-5</c:v>
                </c:pt>
                <c:pt idx="11">
                  <c:v>-8.1583267982576757E-5</c:v>
                </c:pt>
                <c:pt idx="12">
                  <c:v>-8.1457755871428006E-5</c:v>
                </c:pt>
                <c:pt idx="13">
                  <c:v>-1.3416061167115245E-5</c:v>
                </c:pt>
                <c:pt idx="14">
                  <c:v>-1.7272621291253287E-5</c:v>
                </c:pt>
                <c:pt idx="15">
                  <c:v>-1.2307298390146215E-4</c:v>
                </c:pt>
                <c:pt idx="16">
                  <c:v>-1.5843334193466063E-6</c:v>
                </c:pt>
                <c:pt idx="17">
                  <c:v>-5.7933164635981527E-5</c:v>
                </c:pt>
                <c:pt idx="18">
                  <c:v>-4.5979661471573507E-6</c:v>
                </c:pt>
                <c:pt idx="19">
                  <c:v>-5.341038633366324E-5</c:v>
                </c:pt>
              </c:numCache>
            </c:numRef>
          </c:yVal>
        </c:ser>
        <c:axId val="46500864"/>
        <c:axId val="46511232"/>
      </c:scatterChart>
      <c:valAx>
        <c:axId val="46500864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Salt Concentration (g/cc)</a:t>
                </a:r>
              </a:p>
            </c:rich>
          </c:tx>
          <c:layout>
            <c:manualLayout>
              <c:xMode val="edge"/>
              <c:yMode val="edge"/>
              <c:x val="0.26666666666666738"/>
              <c:y val="0.86458333333333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511232"/>
        <c:crossesAt val="-1"/>
        <c:crossBetween val="midCat"/>
      </c:valAx>
      <c:valAx>
        <c:axId val="46511232"/>
        <c:scaling>
          <c:orientation val="minMax"/>
          <c:max val="3.0000000000000079E-4"/>
          <c:min val="-3.0000000000000079E-4"/>
        </c:scaling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Density Error (g/cc)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12847222222222221"/>
            </c:manualLayout>
          </c:layout>
          <c:spPr>
            <a:noFill/>
            <a:ln w="25400">
              <a:noFill/>
            </a:ln>
          </c:spPr>
        </c:title>
        <c:numFmt formatCode="0.0000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50086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2430555555555622"/>
          <c:y val="6.3657407407407413E-2"/>
          <c:w val="0.26132983377078001"/>
          <c:h val="0.2251640419947506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intercept val="0.99820599999999959"/>
            <c:dispRSqr val="1"/>
            <c:dispEq val="1"/>
            <c:trendlineLbl>
              <c:layout>
                <c:manualLayout>
                  <c:x val="-3.1695975503062364E-2"/>
                  <c:y val="-1.8197725284339553E-3"/>
                </c:manualLayout>
              </c:layout>
              <c:numFmt formatCode="#,##0.00000000" sourceLinked="0"/>
            </c:trendlineLbl>
          </c:trendline>
          <c:xVal>
            <c:numRef>
              <c:f>'3. NaCl Density fit'!$B$8:$B$38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10.1</c:v>
                </c:pt>
                <c:pt idx="11">
                  <c:v>12.1</c:v>
                </c:pt>
                <c:pt idx="12">
                  <c:v>14.1</c:v>
                </c:pt>
                <c:pt idx="13">
                  <c:v>16.2</c:v>
                </c:pt>
                <c:pt idx="14">
                  <c:v>18.2</c:v>
                </c:pt>
                <c:pt idx="15">
                  <c:v>20.2</c:v>
                </c:pt>
                <c:pt idx="16">
                  <c:v>24.4</c:v>
                </c:pt>
                <c:pt idx="17">
                  <c:v>28.5</c:v>
                </c:pt>
                <c:pt idx="18">
                  <c:v>30.6</c:v>
                </c:pt>
                <c:pt idx="19">
                  <c:v>32.700000000000003</c:v>
                </c:pt>
                <c:pt idx="22" formatCode="0.00">
                  <c:v>5.8239069892807507</c:v>
                </c:pt>
                <c:pt idx="23" formatCode="0.00">
                  <c:v>14.522130219990506</c:v>
                </c:pt>
                <c:pt idx="24" formatCode="0.00">
                  <c:v>28.915743908557047</c:v>
                </c:pt>
                <c:pt idx="25" formatCode="0.00">
                  <c:v>43.176740486694293</c:v>
                </c:pt>
                <c:pt idx="26" formatCode="0.00">
                  <c:v>57.302347198931358</c:v>
                </c:pt>
                <c:pt idx="27" formatCode="0.00">
                  <c:v>112.41556815521912</c:v>
                </c:pt>
                <c:pt idx="28" formatCode="0.00">
                  <c:v>165.27107321101136</c:v>
                </c:pt>
                <c:pt idx="29" formatCode="0.00">
                  <c:v>215.88457823850413</c:v>
                </c:pt>
                <c:pt idx="30" formatCode="0.00">
                  <c:v>264.32984326652041</c:v>
                </c:pt>
              </c:numCache>
            </c:numRef>
          </c:xVal>
          <c:yVal>
            <c:numRef>
              <c:f>'3. NaCl Density fit'!$C$8:$C$38</c:f>
              <c:numCache>
                <c:formatCode>0.000000</c:formatCode>
                <c:ptCount val="31"/>
                <c:pt idx="0">
                  <c:v>0.99820629999999999</c:v>
                </c:pt>
                <c:pt idx="1">
                  <c:v>0.99890000000000001</c:v>
                </c:pt>
                <c:pt idx="2">
                  <c:v>0.99970000000000003</c:v>
                </c:pt>
                <c:pt idx="3">
                  <c:v>1.0004</c:v>
                </c:pt>
                <c:pt idx="4">
                  <c:v>1.0011000000000001</c:v>
                </c:pt>
                <c:pt idx="5">
                  <c:v>1.0018</c:v>
                </c:pt>
                <c:pt idx="6">
                  <c:v>1.0024999999999999</c:v>
                </c:pt>
                <c:pt idx="7">
                  <c:v>1.0032000000000001</c:v>
                </c:pt>
                <c:pt idx="8">
                  <c:v>1.0039</c:v>
                </c:pt>
                <c:pt idx="9">
                  <c:v>1.0045999999999999</c:v>
                </c:pt>
                <c:pt idx="10">
                  <c:v>1.0053000000000001</c:v>
                </c:pt>
                <c:pt idx="11">
                  <c:v>1.0067999999999999</c:v>
                </c:pt>
                <c:pt idx="12">
                  <c:v>1.0082</c:v>
                </c:pt>
                <c:pt idx="13">
                  <c:v>1.0096000000000001</c:v>
                </c:pt>
                <c:pt idx="14">
                  <c:v>1.0109999999999999</c:v>
                </c:pt>
                <c:pt idx="15">
                  <c:v>1.0125</c:v>
                </c:pt>
                <c:pt idx="16">
                  <c:v>1.0153000000000001</c:v>
                </c:pt>
                <c:pt idx="17">
                  <c:v>1.0182</c:v>
                </c:pt>
                <c:pt idx="18">
                  <c:v>1.0196000000000001</c:v>
                </c:pt>
                <c:pt idx="19">
                  <c:v>1.0210999999999999</c:v>
                </c:pt>
                <c:pt idx="22" formatCode="General">
                  <c:v>1.0023856779134339</c:v>
                </c:pt>
                <c:pt idx="23" formatCode="General">
                  <c:v>1.0085077715608877</c:v>
                </c:pt>
                <c:pt idx="24" formatCode="General">
                  <c:v>1.0185031466654717</c:v>
                </c:pt>
                <c:pt idx="25" formatCode="General">
                  <c:v>1.028272348214148</c:v>
                </c:pt>
                <c:pt idx="26" formatCode="General">
                  <c:v>1.0378353245933762</c:v>
                </c:pt>
                <c:pt idx="27" formatCode="General">
                  <c:v>1.0742188549041851</c:v>
                </c:pt>
                <c:pt idx="28" formatCode="General">
                  <c:v>1.1079534437962917</c:v>
                </c:pt>
                <c:pt idx="29" formatCode="General">
                  <c:v>1.1394154570822077</c:v>
                </c:pt>
                <c:pt idx="30" formatCode="General">
                  <c:v>1.1689494300787053</c:v>
                </c:pt>
              </c:numCache>
            </c:numRef>
          </c:yVal>
        </c:ser>
        <c:axId val="46547328"/>
        <c:axId val="46548864"/>
      </c:scatterChart>
      <c:valAx>
        <c:axId val="46547328"/>
        <c:scaling>
          <c:orientation val="minMax"/>
        </c:scaling>
        <c:axPos val="b"/>
        <c:numFmt formatCode="General" sourceLinked="1"/>
        <c:tickLblPos val="nextTo"/>
        <c:crossAx val="46548864"/>
        <c:crosses val="autoZero"/>
        <c:crossBetween val="midCat"/>
      </c:valAx>
      <c:valAx>
        <c:axId val="46548864"/>
        <c:scaling>
          <c:orientation val="minMax"/>
        </c:scaling>
        <c:axPos val="l"/>
        <c:majorGridlines/>
        <c:numFmt formatCode="0.000000" sourceLinked="1"/>
        <c:tickLblPos val="nextTo"/>
        <c:crossAx val="4654732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8750000000000044"/>
          <c:y val="4.8611111111111112E-2"/>
          <c:w val="0.58958333333333257"/>
          <c:h val="0.71527777777777779"/>
        </c:manualLayout>
      </c:layout>
      <c:scatterChart>
        <c:scatterStyle val="lineMarker"/>
        <c:ser>
          <c:idx val="0"/>
          <c:order val="0"/>
          <c:tx>
            <c:v>3.35 salt density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'4. SeaWater Density fit'!$B$8:$B$35</c:f>
              <c:numCache>
                <c:formatCode>General</c:formatCode>
                <c:ptCount val="28"/>
                <c:pt idx="0">
                  <c:v>0</c:v>
                </c:pt>
                <c:pt idx="1">
                  <c:v>1.9991504</c:v>
                </c:pt>
                <c:pt idx="2">
                  <c:v>4.0044000000000004</c:v>
                </c:pt>
                <c:pt idx="3">
                  <c:v>6.0156000000000001</c:v>
                </c:pt>
                <c:pt idx="4">
                  <c:v>8.0335999999999999</c:v>
                </c:pt>
                <c:pt idx="5">
                  <c:v>10.057</c:v>
                </c:pt>
                <c:pt idx="6">
                  <c:v>12.087599999999998</c:v>
                </c:pt>
                <c:pt idx="7">
                  <c:v>14.123199999999999</c:v>
                </c:pt>
                <c:pt idx="8">
                  <c:v>16.1648</c:v>
                </c:pt>
                <c:pt idx="9">
                  <c:v>18.214200000000002</c:v>
                </c:pt>
                <c:pt idx="10">
                  <c:v>20.268000000000001</c:v>
                </c:pt>
                <c:pt idx="11">
                  <c:v>30.632999999999999</c:v>
                </c:pt>
                <c:pt idx="12">
                  <c:v>41.152000000000001</c:v>
                </c:pt>
                <c:pt idx="13">
                  <c:v>51.825000000000003</c:v>
                </c:pt>
                <c:pt idx="14">
                  <c:v>62.645999999999994</c:v>
                </c:pt>
                <c:pt idx="15">
                  <c:v>73.626000000000005</c:v>
                </c:pt>
                <c:pt idx="16">
                  <c:v>84.76</c:v>
                </c:pt>
                <c:pt idx="17">
                  <c:v>96.048000000000002</c:v>
                </c:pt>
                <c:pt idx="18">
                  <c:v>107.49000000000001</c:v>
                </c:pt>
                <c:pt idx="19" formatCode="0.00">
                  <c:v>119.08599999999998</c:v>
                </c:pt>
                <c:pt idx="20" formatCode="0.00">
                  <c:v>130.83600000000001</c:v>
                </c:pt>
              </c:numCache>
            </c:numRef>
          </c:xVal>
          <c:yVal>
            <c:numRef>
              <c:f>'4. SeaWater Density fit'!$F$8:$F$47</c:f>
            </c:numRef>
          </c:yVal>
        </c:ser>
        <c:ser>
          <c:idx val="1"/>
          <c:order val="1"/>
          <c:tx>
            <c:v>poly fit on fluid density</c:v>
          </c:tx>
          <c:spPr>
            <a:ln w="28575">
              <a:noFill/>
            </a:ln>
          </c:spPr>
          <c:xVal>
            <c:numRef>
              <c:f>'4. SeaWater Density fit'!$B$8:$B$35</c:f>
              <c:numCache>
                <c:formatCode>General</c:formatCode>
                <c:ptCount val="28"/>
                <c:pt idx="0">
                  <c:v>0</c:v>
                </c:pt>
                <c:pt idx="1">
                  <c:v>1.9991504</c:v>
                </c:pt>
                <c:pt idx="2">
                  <c:v>4.0044000000000004</c:v>
                </c:pt>
                <c:pt idx="3">
                  <c:v>6.0156000000000001</c:v>
                </c:pt>
                <c:pt idx="4">
                  <c:v>8.0335999999999999</c:v>
                </c:pt>
                <c:pt idx="5">
                  <c:v>10.057</c:v>
                </c:pt>
                <c:pt idx="6">
                  <c:v>12.087599999999998</c:v>
                </c:pt>
                <c:pt idx="7">
                  <c:v>14.123199999999999</c:v>
                </c:pt>
                <c:pt idx="8">
                  <c:v>16.1648</c:v>
                </c:pt>
                <c:pt idx="9">
                  <c:v>18.214200000000002</c:v>
                </c:pt>
                <c:pt idx="10">
                  <c:v>20.268000000000001</c:v>
                </c:pt>
                <c:pt idx="11">
                  <c:v>30.632999999999999</c:v>
                </c:pt>
                <c:pt idx="12">
                  <c:v>41.152000000000001</c:v>
                </c:pt>
                <c:pt idx="13">
                  <c:v>51.825000000000003</c:v>
                </c:pt>
                <c:pt idx="14">
                  <c:v>62.645999999999994</c:v>
                </c:pt>
                <c:pt idx="15">
                  <c:v>73.626000000000005</c:v>
                </c:pt>
                <c:pt idx="16">
                  <c:v>84.76</c:v>
                </c:pt>
                <c:pt idx="17">
                  <c:v>96.048000000000002</c:v>
                </c:pt>
                <c:pt idx="18">
                  <c:v>107.49000000000001</c:v>
                </c:pt>
                <c:pt idx="19" formatCode="0.00">
                  <c:v>119.08599999999998</c:v>
                </c:pt>
                <c:pt idx="20" formatCode="0.00">
                  <c:v>130.83600000000001</c:v>
                </c:pt>
              </c:numCache>
            </c:numRef>
          </c:xVal>
          <c:yVal>
            <c:numRef>
              <c:f>'4. SeaWater Density fit'!$N$8:$N$47</c:f>
              <c:numCache>
                <c:formatCode>0.000000</c:formatCode>
                <c:ptCount val="40"/>
                <c:pt idx="0">
                  <c:v>-2.5210000159980872E-5</c:v>
                </c:pt>
                <c:pt idx="1">
                  <c:v>1.1855085318279723E-4</c:v>
                </c:pt>
                <c:pt idx="2">
                  <c:v>1.1385804334951288E-4</c:v>
                </c:pt>
                <c:pt idx="3">
                  <c:v>1.3496728541428915E-4</c:v>
                </c:pt>
                <c:pt idx="4">
                  <c:v>5.7687727617938833E-5</c:v>
                </c:pt>
                <c:pt idx="5">
                  <c:v>8.0930899134079581E-5</c:v>
                </c:pt>
                <c:pt idx="6">
                  <c:v>6.0186326888977959E-6</c:v>
                </c:pt>
                <c:pt idx="7">
                  <c:v>3.1266342052305163E-5</c:v>
                </c:pt>
                <c:pt idx="8">
                  <c:v>5.7394130773991137E-5</c:v>
                </c:pt>
                <c:pt idx="9">
                  <c:v>-1.4289197215244798E-5</c:v>
                </c:pt>
                <c:pt idx="10">
                  <c:v>1.3648284192813165E-5</c:v>
                </c:pt>
                <c:pt idx="11">
                  <c:v>-3.1156041247815125E-5</c:v>
                </c:pt>
                <c:pt idx="12">
                  <c:v>-5.7642081523701094E-5</c:v>
                </c:pt>
                <c:pt idx="13">
                  <c:v>-7.0031649043844624E-5</c:v>
                </c:pt>
                <c:pt idx="14">
                  <c:v>2.3154155079252448E-5</c:v>
                </c:pt>
                <c:pt idx="15">
                  <c:v>2.5405390057686716E-5</c:v>
                </c:pt>
                <c:pt idx="16">
                  <c:v>2.8736960481445806E-5</c:v>
                </c:pt>
                <c:pt idx="17">
                  <c:v>2.8680223004950989E-5</c:v>
                </c:pt>
                <c:pt idx="18">
                  <c:v>2.0704726210407642E-5</c:v>
                </c:pt>
                <c:pt idx="19">
                  <c:v>2.1821060758320243E-7</c:v>
                </c:pt>
                <c:pt idx="20">
                  <c:v>-3.7433391365748747E-5</c:v>
                </c:pt>
              </c:numCache>
            </c:numRef>
          </c:yVal>
        </c:ser>
        <c:ser>
          <c:idx val="2"/>
          <c:order val="2"/>
          <c:tx>
            <c:v>Poly fit on salt density</c:v>
          </c:tx>
          <c:spPr>
            <a:ln w="28575">
              <a:noFill/>
            </a:ln>
          </c:spPr>
          <c:xVal>
            <c:numRef>
              <c:f>'4. SeaWater Density fit'!$B$8:$B$35</c:f>
              <c:numCache>
                <c:formatCode>General</c:formatCode>
                <c:ptCount val="28"/>
                <c:pt idx="0">
                  <c:v>0</c:v>
                </c:pt>
                <c:pt idx="1">
                  <c:v>1.9991504</c:v>
                </c:pt>
                <c:pt idx="2">
                  <c:v>4.0044000000000004</c:v>
                </c:pt>
                <c:pt idx="3">
                  <c:v>6.0156000000000001</c:v>
                </c:pt>
                <c:pt idx="4">
                  <c:v>8.0335999999999999</c:v>
                </c:pt>
                <c:pt idx="5">
                  <c:v>10.057</c:v>
                </c:pt>
                <c:pt idx="6">
                  <c:v>12.087599999999998</c:v>
                </c:pt>
                <c:pt idx="7">
                  <c:v>14.123199999999999</c:v>
                </c:pt>
                <c:pt idx="8">
                  <c:v>16.1648</c:v>
                </c:pt>
                <c:pt idx="9">
                  <c:v>18.214200000000002</c:v>
                </c:pt>
                <c:pt idx="10">
                  <c:v>20.268000000000001</c:v>
                </c:pt>
                <c:pt idx="11">
                  <c:v>30.632999999999999</c:v>
                </c:pt>
                <c:pt idx="12">
                  <c:v>41.152000000000001</c:v>
                </c:pt>
                <c:pt idx="13">
                  <c:v>51.825000000000003</c:v>
                </c:pt>
                <c:pt idx="14">
                  <c:v>62.645999999999994</c:v>
                </c:pt>
                <c:pt idx="15">
                  <c:v>73.626000000000005</c:v>
                </c:pt>
                <c:pt idx="16">
                  <c:v>84.76</c:v>
                </c:pt>
                <c:pt idx="17">
                  <c:v>96.048000000000002</c:v>
                </c:pt>
                <c:pt idx="18">
                  <c:v>107.49000000000001</c:v>
                </c:pt>
                <c:pt idx="19" formatCode="0.00">
                  <c:v>119.08599999999998</c:v>
                </c:pt>
                <c:pt idx="20" formatCode="0.00">
                  <c:v>130.83600000000001</c:v>
                </c:pt>
              </c:numCache>
            </c:numRef>
          </c:xVal>
          <c:yVal>
            <c:numRef>
              <c:f>'4. SeaWater Density fit'!$K$8:$K$47</c:f>
              <c:numCache>
                <c:formatCode>0.000000</c:formatCode>
                <c:ptCount val="40"/>
                <c:pt idx="0">
                  <c:v>0</c:v>
                </c:pt>
                <c:pt idx="1">
                  <c:v>1.4367879403853756E-4</c:v>
                </c:pt>
                <c:pt idx="2">
                  <c:v>1.3892660968606307E-4</c:v>
                </c:pt>
                <c:pt idx="3">
                  <c:v>1.5999178814074533E-4</c:v>
                </c:pt>
                <c:pt idx="4">
                  <c:v>8.2676276077497945E-5</c:v>
                </c:pt>
                <c:pt idx="5">
                  <c:v>1.0588464814476062E-4</c:v>
                </c:pt>
                <c:pt idx="6">
                  <c:v>3.0931945675716221E-5</c:v>
                </c:pt>
                <c:pt idx="7">
                  <c:v>5.6127111747850122E-5</c:v>
                </c:pt>
                <c:pt idx="8">
                  <c:v>8.2183982429429037E-5</c:v>
                </c:pt>
                <c:pt idx="9">
                  <c:v>1.0405296444249146E-5</c:v>
                </c:pt>
                <c:pt idx="10">
                  <c:v>3.8217459865874659E-5</c:v>
                </c:pt>
                <c:pt idx="11">
                  <c:v>-7.839892995242792E-6</c:v>
                </c:pt>
                <c:pt idx="12">
                  <c:v>-3.6974894920716039E-5</c:v>
                </c:pt>
                <c:pt idx="13">
                  <c:v>-5.3653808433695716E-5</c:v>
                </c:pt>
                <c:pt idx="14">
                  <c:v>3.3725028081743602E-5</c:v>
                </c:pt>
                <c:pt idx="15">
                  <c:v>2.9219857229589863E-5</c:v>
                </c:pt>
                <c:pt idx="16">
                  <c:v>2.5979687187538403E-5</c:v>
                </c:pt>
                <c:pt idx="17">
                  <c:v>2.1339518184948503E-5</c:v>
                </c:pt>
                <c:pt idx="18">
                  <c:v>1.3369944242391796E-5</c:v>
                </c:pt>
                <c:pt idx="19">
                  <c:v>1.0133931065414714E-6</c:v>
                </c:pt>
                <c:pt idx="20">
                  <c:v>-1.5769936901666171E-5</c:v>
                </c:pt>
                <c:pt idx="23">
                  <c:v>1.5999178814074533E-4</c:v>
                </c:pt>
                <c:pt idx="24">
                  <c:v>-5.3653808433695716E-5</c:v>
                </c:pt>
              </c:numCache>
            </c:numRef>
          </c:yVal>
        </c:ser>
        <c:axId val="46772992"/>
        <c:axId val="46774912"/>
      </c:scatterChart>
      <c:valAx>
        <c:axId val="46772992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Salt Concentration (g/cc)</a:t>
                </a:r>
              </a:p>
            </c:rich>
          </c:tx>
          <c:layout>
            <c:manualLayout>
              <c:xMode val="edge"/>
              <c:yMode val="edge"/>
              <c:x val="0.26666666666666738"/>
              <c:y val="0.86458333333333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774912"/>
        <c:crossesAt val="-1"/>
        <c:crossBetween val="midCat"/>
      </c:valAx>
      <c:valAx>
        <c:axId val="46774912"/>
        <c:scaling>
          <c:orientation val="minMax"/>
          <c:max val="5.0000000000000034E-4"/>
          <c:min val="-5.0000000000000034E-4"/>
        </c:scaling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Density Error (g/cc)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12847222222222221"/>
            </c:manualLayout>
          </c:layout>
          <c:spPr>
            <a:noFill/>
            <a:ln w="25400">
              <a:noFill/>
            </a:ln>
          </c:spPr>
        </c:title>
        <c:numFmt formatCode="0.000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77299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3194444444444512"/>
          <c:y val="0.1111111111111111"/>
          <c:w val="0.26153805774278216"/>
          <c:h val="0.2251640419947506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2708333333333341"/>
          <c:y val="4.8611111111111112E-2"/>
          <c:w val="0.66597222222222263"/>
          <c:h val="0.71527777777777779"/>
        </c:manualLayout>
      </c:layout>
      <c:scatterChart>
        <c:scatterStyle val="lineMarker"/>
        <c:ser>
          <c:idx val="0"/>
          <c:order val="0"/>
          <c:tx>
            <c:v>3.35 salt density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'4. SeaWater Density fit'!$B$8:$B$29</c:f>
              <c:numCache>
                <c:formatCode>General</c:formatCode>
                <c:ptCount val="22"/>
                <c:pt idx="0">
                  <c:v>0</c:v>
                </c:pt>
                <c:pt idx="1">
                  <c:v>1.9991504</c:v>
                </c:pt>
                <c:pt idx="2">
                  <c:v>4.0044000000000004</c:v>
                </c:pt>
                <c:pt idx="3">
                  <c:v>6.0156000000000001</c:v>
                </c:pt>
                <c:pt idx="4">
                  <c:v>8.0335999999999999</c:v>
                </c:pt>
                <c:pt idx="5">
                  <c:v>10.057</c:v>
                </c:pt>
                <c:pt idx="6">
                  <c:v>12.087599999999998</c:v>
                </c:pt>
                <c:pt idx="7">
                  <c:v>14.123199999999999</c:v>
                </c:pt>
                <c:pt idx="8">
                  <c:v>16.1648</c:v>
                </c:pt>
                <c:pt idx="9">
                  <c:v>18.214200000000002</c:v>
                </c:pt>
                <c:pt idx="10">
                  <c:v>20.268000000000001</c:v>
                </c:pt>
                <c:pt idx="11">
                  <c:v>30.632999999999999</c:v>
                </c:pt>
                <c:pt idx="12">
                  <c:v>41.152000000000001</c:v>
                </c:pt>
                <c:pt idx="13">
                  <c:v>51.825000000000003</c:v>
                </c:pt>
                <c:pt idx="14">
                  <c:v>62.645999999999994</c:v>
                </c:pt>
                <c:pt idx="15">
                  <c:v>73.626000000000005</c:v>
                </c:pt>
                <c:pt idx="16">
                  <c:v>84.76</c:v>
                </c:pt>
                <c:pt idx="17">
                  <c:v>96.048000000000002</c:v>
                </c:pt>
                <c:pt idx="18">
                  <c:v>107.49000000000001</c:v>
                </c:pt>
                <c:pt idx="19" formatCode="0.00">
                  <c:v>119.08599999999998</c:v>
                </c:pt>
                <c:pt idx="20" formatCode="0.00">
                  <c:v>130.83600000000001</c:v>
                </c:pt>
              </c:numCache>
            </c:numRef>
          </c:xVal>
          <c:yVal>
            <c:numRef>
              <c:f>'4. SeaWater Density fit'!$F$8:$F$41</c:f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'4. SeaWater Density fit'!$B$8:$B$28</c:f>
              <c:numCache>
                <c:formatCode>General</c:formatCode>
                <c:ptCount val="21"/>
                <c:pt idx="0">
                  <c:v>0</c:v>
                </c:pt>
                <c:pt idx="1">
                  <c:v>1.9991504</c:v>
                </c:pt>
                <c:pt idx="2">
                  <c:v>4.0044000000000004</c:v>
                </c:pt>
                <c:pt idx="3">
                  <c:v>6.0156000000000001</c:v>
                </c:pt>
                <c:pt idx="4">
                  <c:v>8.0335999999999999</c:v>
                </c:pt>
                <c:pt idx="5">
                  <c:v>10.057</c:v>
                </c:pt>
                <c:pt idx="6">
                  <c:v>12.087599999999998</c:v>
                </c:pt>
                <c:pt idx="7">
                  <c:v>14.123199999999999</c:v>
                </c:pt>
                <c:pt idx="8">
                  <c:v>16.1648</c:v>
                </c:pt>
                <c:pt idx="9">
                  <c:v>18.214200000000002</c:v>
                </c:pt>
                <c:pt idx="10">
                  <c:v>20.268000000000001</c:v>
                </c:pt>
                <c:pt idx="11">
                  <c:v>30.632999999999999</c:v>
                </c:pt>
                <c:pt idx="12">
                  <c:v>41.152000000000001</c:v>
                </c:pt>
                <c:pt idx="13">
                  <c:v>51.825000000000003</c:v>
                </c:pt>
                <c:pt idx="14">
                  <c:v>62.645999999999994</c:v>
                </c:pt>
                <c:pt idx="15">
                  <c:v>73.626000000000005</c:v>
                </c:pt>
                <c:pt idx="16">
                  <c:v>84.76</c:v>
                </c:pt>
                <c:pt idx="17">
                  <c:v>96.048000000000002</c:v>
                </c:pt>
                <c:pt idx="18">
                  <c:v>107.49000000000001</c:v>
                </c:pt>
                <c:pt idx="19" formatCode="0.00">
                  <c:v>119.08599999999998</c:v>
                </c:pt>
                <c:pt idx="20" formatCode="0.00">
                  <c:v>130.83600000000001</c:v>
                </c:pt>
              </c:numCache>
            </c:numRef>
          </c:xVal>
          <c:yVal>
            <c:numRef>
              <c:f>'4. SeaWater Density fit'!$N$8:$N$29</c:f>
              <c:numCache>
                <c:formatCode>0.000000</c:formatCode>
                <c:ptCount val="22"/>
                <c:pt idx="0">
                  <c:v>-2.5210000159980872E-5</c:v>
                </c:pt>
                <c:pt idx="1">
                  <c:v>1.1855085318279723E-4</c:v>
                </c:pt>
                <c:pt idx="2">
                  <c:v>1.1385804334951288E-4</c:v>
                </c:pt>
                <c:pt idx="3">
                  <c:v>1.3496728541428915E-4</c:v>
                </c:pt>
                <c:pt idx="4">
                  <c:v>5.7687727617938833E-5</c:v>
                </c:pt>
                <c:pt idx="5">
                  <c:v>8.0930899134079581E-5</c:v>
                </c:pt>
                <c:pt idx="6">
                  <c:v>6.0186326888977959E-6</c:v>
                </c:pt>
                <c:pt idx="7">
                  <c:v>3.1266342052305163E-5</c:v>
                </c:pt>
                <c:pt idx="8">
                  <c:v>5.7394130773991137E-5</c:v>
                </c:pt>
                <c:pt idx="9">
                  <c:v>-1.4289197215244798E-5</c:v>
                </c:pt>
                <c:pt idx="10">
                  <c:v>1.3648284192813165E-5</c:v>
                </c:pt>
                <c:pt idx="11">
                  <c:v>-3.1156041247815125E-5</c:v>
                </c:pt>
                <c:pt idx="12">
                  <c:v>-5.7642081523701094E-5</c:v>
                </c:pt>
                <c:pt idx="13">
                  <c:v>-7.0031649043844624E-5</c:v>
                </c:pt>
                <c:pt idx="14">
                  <c:v>2.3154155079252448E-5</c:v>
                </c:pt>
                <c:pt idx="15">
                  <c:v>2.5405390057686716E-5</c:v>
                </c:pt>
                <c:pt idx="16">
                  <c:v>2.8736960481445806E-5</c:v>
                </c:pt>
                <c:pt idx="17">
                  <c:v>2.8680223004950989E-5</c:v>
                </c:pt>
                <c:pt idx="18">
                  <c:v>2.0704726210407642E-5</c:v>
                </c:pt>
                <c:pt idx="19">
                  <c:v>2.1821060758320243E-7</c:v>
                </c:pt>
                <c:pt idx="20">
                  <c:v>-3.7433391365748747E-5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'4. SeaWater Density fit'!$B$8:$B$28</c:f>
              <c:numCache>
                <c:formatCode>General</c:formatCode>
                <c:ptCount val="21"/>
                <c:pt idx="0">
                  <c:v>0</c:v>
                </c:pt>
                <c:pt idx="1">
                  <c:v>1.9991504</c:v>
                </c:pt>
                <c:pt idx="2">
                  <c:v>4.0044000000000004</c:v>
                </c:pt>
                <c:pt idx="3">
                  <c:v>6.0156000000000001</c:v>
                </c:pt>
                <c:pt idx="4">
                  <c:v>8.0335999999999999</c:v>
                </c:pt>
                <c:pt idx="5">
                  <c:v>10.057</c:v>
                </c:pt>
                <c:pt idx="6">
                  <c:v>12.087599999999998</c:v>
                </c:pt>
                <c:pt idx="7">
                  <c:v>14.123199999999999</c:v>
                </c:pt>
                <c:pt idx="8">
                  <c:v>16.1648</c:v>
                </c:pt>
                <c:pt idx="9">
                  <c:v>18.214200000000002</c:v>
                </c:pt>
                <c:pt idx="10">
                  <c:v>20.268000000000001</c:v>
                </c:pt>
                <c:pt idx="11">
                  <c:v>30.632999999999999</c:v>
                </c:pt>
                <c:pt idx="12">
                  <c:v>41.152000000000001</c:v>
                </c:pt>
                <c:pt idx="13">
                  <c:v>51.825000000000003</c:v>
                </c:pt>
                <c:pt idx="14">
                  <c:v>62.645999999999994</c:v>
                </c:pt>
                <c:pt idx="15">
                  <c:v>73.626000000000005</c:v>
                </c:pt>
                <c:pt idx="16">
                  <c:v>84.76</c:v>
                </c:pt>
                <c:pt idx="17">
                  <c:v>96.048000000000002</c:v>
                </c:pt>
                <c:pt idx="18">
                  <c:v>107.49000000000001</c:v>
                </c:pt>
                <c:pt idx="19" formatCode="0.00">
                  <c:v>119.08599999999998</c:v>
                </c:pt>
                <c:pt idx="20" formatCode="0.00">
                  <c:v>130.83600000000001</c:v>
                </c:pt>
              </c:numCache>
            </c:numRef>
          </c:xVal>
          <c:yVal>
            <c:numRef>
              <c:f>'4. SeaWater Density fit'!$K$8:$K$36</c:f>
              <c:numCache>
                <c:formatCode>0.000000</c:formatCode>
                <c:ptCount val="29"/>
                <c:pt idx="0">
                  <c:v>0</c:v>
                </c:pt>
                <c:pt idx="1">
                  <c:v>1.4367879403853756E-4</c:v>
                </c:pt>
                <c:pt idx="2">
                  <c:v>1.3892660968606307E-4</c:v>
                </c:pt>
                <c:pt idx="3">
                  <c:v>1.5999178814074533E-4</c:v>
                </c:pt>
                <c:pt idx="4">
                  <c:v>8.2676276077497945E-5</c:v>
                </c:pt>
                <c:pt idx="5">
                  <c:v>1.0588464814476062E-4</c:v>
                </c:pt>
                <c:pt idx="6">
                  <c:v>3.0931945675716221E-5</c:v>
                </c:pt>
                <c:pt idx="7">
                  <c:v>5.6127111747850122E-5</c:v>
                </c:pt>
                <c:pt idx="8">
                  <c:v>8.2183982429429037E-5</c:v>
                </c:pt>
                <c:pt idx="9">
                  <c:v>1.0405296444249146E-5</c:v>
                </c:pt>
                <c:pt idx="10">
                  <c:v>3.8217459865874659E-5</c:v>
                </c:pt>
                <c:pt idx="11">
                  <c:v>-7.839892995242792E-6</c:v>
                </c:pt>
                <c:pt idx="12">
                  <c:v>-3.6974894920716039E-5</c:v>
                </c:pt>
                <c:pt idx="13">
                  <c:v>-5.3653808433695716E-5</c:v>
                </c:pt>
                <c:pt idx="14">
                  <c:v>3.3725028081743602E-5</c:v>
                </c:pt>
                <c:pt idx="15">
                  <c:v>2.9219857229589863E-5</c:v>
                </c:pt>
                <c:pt idx="16">
                  <c:v>2.5979687187538403E-5</c:v>
                </c:pt>
                <c:pt idx="17">
                  <c:v>2.1339518184948503E-5</c:v>
                </c:pt>
                <c:pt idx="18">
                  <c:v>1.3369944242391796E-5</c:v>
                </c:pt>
                <c:pt idx="19">
                  <c:v>1.0133931065414714E-6</c:v>
                </c:pt>
                <c:pt idx="20">
                  <c:v>-1.5769936901666171E-5</c:v>
                </c:pt>
                <c:pt idx="23">
                  <c:v>1.5999178814074533E-4</c:v>
                </c:pt>
                <c:pt idx="24">
                  <c:v>-5.3653808433695716E-5</c:v>
                </c:pt>
              </c:numCache>
            </c:numRef>
          </c:yVal>
        </c:ser>
        <c:axId val="47154688"/>
        <c:axId val="47156608"/>
      </c:scatterChart>
      <c:valAx>
        <c:axId val="4715468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Salt Concentration (g/cc)</a:t>
                </a:r>
              </a:p>
            </c:rich>
          </c:tx>
          <c:layout>
            <c:manualLayout>
              <c:xMode val="edge"/>
              <c:yMode val="edge"/>
              <c:x val="0.26666666666666738"/>
              <c:y val="0.86458333333333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56608"/>
        <c:crossesAt val="-1"/>
        <c:crossBetween val="midCat"/>
      </c:valAx>
      <c:valAx>
        <c:axId val="47156608"/>
        <c:scaling>
          <c:orientation val="minMax"/>
          <c:max val="3.0000000000000068E-4"/>
        </c:scaling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Density Error (g/cc)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12847222222222221"/>
            </c:manualLayout>
          </c:layout>
          <c:spPr>
            <a:noFill/>
            <a:ln w="25400">
              <a:noFill/>
            </a:ln>
          </c:spPr>
        </c:title>
        <c:numFmt formatCode="0.0000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15468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0763888888888957"/>
          <c:y val="5.9839272668236104E-2"/>
          <c:w val="0.26132983377078012"/>
          <c:h val="0.22516404199475065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'4. SeaWater Density fit'!$B$8:$B$28</c:f>
              <c:numCache>
                <c:formatCode>General</c:formatCode>
                <c:ptCount val="21"/>
                <c:pt idx="0">
                  <c:v>0</c:v>
                </c:pt>
                <c:pt idx="1">
                  <c:v>1.9991504</c:v>
                </c:pt>
                <c:pt idx="2">
                  <c:v>4.0044000000000004</c:v>
                </c:pt>
                <c:pt idx="3">
                  <c:v>6.0156000000000001</c:v>
                </c:pt>
                <c:pt idx="4">
                  <c:v>8.0335999999999999</c:v>
                </c:pt>
                <c:pt idx="5">
                  <c:v>10.057</c:v>
                </c:pt>
                <c:pt idx="6">
                  <c:v>12.087599999999998</c:v>
                </c:pt>
                <c:pt idx="7">
                  <c:v>14.123199999999999</c:v>
                </c:pt>
                <c:pt idx="8">
                  <c:v>16.1648</c:v>
                </c:pt>
                <c:pt idx="9">
                  <c:v>18.214200000000002</c:v>
                </c:pt>
                <c:pt idx="10">
                  <c:v>20.268000000000001</c:v>
                </c:pt>
                <c:pt idx="11">
                  <c:v>30.632999999999999</c:v>
                </c:pt>
                <c:pt idx="12">
                  <c:v>41.152000000000001</c:v>
                </c:pt>
                <c:pt idx="13">
                  <c:v>51.825000000000003</c:v>
                </c:pt>
                <c:pt idx="14">
                  <c:v>62.645999999999994</c:v>
                </c:pt>
                <c:pt idx="15">
                  <c:v>73.626000000000005</c:v>
                </c:pt>
                <c:pt idx="16">
                  <c:v>84.76</c:v>
                </c:pt>
                <c:pt idx="17">
                  <c:v>96.048000000000002</c:v>
                </c:pt>
                <c:pt idx="18">
                  <c:v>107.49000000000001</c:v>
                </c:pt>
                <c:pt idx="19" formatCode="0.00">
                  <c:v>119.08599999999998</c:v>
                </c:pt>
                <c:pt idx="20" formatCode="0.00">
                  <c:v>130.83600000000001</c:v>
                </c:pt>
              </c:numCache>
            </c:numRef>
          </c:xVal>
          <c:yVal>
            <c:numRef>
              <c:f>'4. SeaWater Density fit'!$G$8:$G$28</c:f>
              <c:numCache>
                <c:formatCode>0.000</c:formatCode>
                <c:ptCount val="21"/>
                <c:pt idx="0">
                  <c:v>3</c:v>
                </c:pt>
                <c:pt idx="1">
                  <c:v>3.1966897016650178</c:v>
                </c:pt>
                <c:pt idx="2">
                  <c:v>3.6192846236719145</c:v>
                </c:pt>
                <c:pt idx="3">
                  <c:v>3.7166012353661064</c:v>
                </c:pt>
                <c:pt idx="4">
                  <c:v>3.942526040466539</c:v>
                </c:pt>
                <c:pt idx="5">
                  <c:v>3.9253295215874404</c:v>
                </c:pt>
                <c:pt idx="6">
                  <c:v>4.0386300234702963</c:v>
                </c:pt>
                <c:pt idx="7">
                  <c:v>4.0002988898798559</c:v>
                </c:pt>
                <c:pt idx="8">
                  <c:v>3.9686876275382978</c:v>
                </c:pt>
                <c:pt idx="9">
                  <c:v>4.0275954476639582</c:v>
                </c:pt>
                <c:pt idx="10">
                  <c:v>3.9920051477542451</c:v>
                </c:pt>
                <c:pt idx="11">
                  <c:v>3.9541991890422459</c:v>
                </c:pt>
                <c:pt idx="12">
                  <c:v>3.8929016413942583</c:v>
                </c:pt>
                <c:pt idx="13">
                  <c:v>3.8248945036349293</c:v>
                </c:pt>
                <c:pt idx="14">
                  <c:v>3.7340508991131518</c:v>
                </c:pt>
                <c:pt idx="15">
                  <c:v>3.6698141373582556</c:v>
                </c:pt>
                <c:pt idx="16">
                  <c:v>3.6064133987653495</c:v>
                </c:pt>
                <c:pt idx="17">
                  <c:v>3.5446119844433532</c:v>
                </c:pt>
                <c:pt idx="18">
                  <c:v>3.4847794043411611</c:v>
                </c:pt>
                <c:pt idx="19">
                  <c:v>3.4270774643165445</c:v>
                </c:pt>
                <c:pt idx="20">
                  <c:v>3.3715015880618786</c:v>
                </c:pt>
              </c:numCache>
            </c:numRef>
          </c:yVal>
        </c:ser>
        <c:axId val="46598016"/>
        <c:axId val="46599552"/>
      </c:scatterChart>
      <c:valAx>
        <c:axId val="46598016"/>
        <c:scaling>
          <c:orientation val="minMax"/>
        </c:scaling>
        <c:axPos val="b"/>
        <c:numFmt formatCode="General" sourceLinked="1"/>
        <c:tickLblPos val="nextTo"/>
        <c:crossAx val="46599552"/>
        <c:crosses val="autoZero"/>
        <c:crossBetween val="midCat"/>
      </c:valAx>
      <c:valAx>
        <c:axId val="46599552"/>
        <c:scaling>
          <c:orientation val="minMax"/>
        </c:scaling>
        <c:axPos val="l"/>
        <c:majorGridlines/>
        <c:numFmt formatCode="0.000" sourceLinked="1"/>
        <c:tickLblPos val="nextTo"/>
        <c:crossAx val="4659801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'4. SeaWater Density fit'!$B$8:$B$35</c:f>
              <c:numCache>
                <c:formatCode>General</c:formatCode>
                <c:ptCount val="28"/>
                <c:pt idx="0">
                  <c:v>0</c:v>
                </c:pt>
                <c:pt idx="1">
                  <c:v>1.9991504</c:v>
                </c:pt>
                <c:pt idx="2">
                  <c:v>4.0044000000000004</c:v>
                </c:pt>
                <c:pt idx="3">
                  <c:v>6.0156000000000001</c:v>
                </c:pt>
                <c:pt idx="4">
                  <c:v>8.0335999999999999</c:v>
                </c:pt>
                <c:pt idx="5">
                  <c:v>10.057</c:v>
                </c:pt>
                <c:pt idx="6">
                  <c:v>12.087599999999998</c:v>
                </c:pt>
                <c:pt idx="7">
                  <c:v>14.123199999999999</c:v>
                </c:pt>
                <c:pt idx="8">
                  <c:v>16.1648</c:v>
                </c:pt>
                <c:pt idx="9">
                  <c:v>18.214200000000002</c:v>
                </c:pt>
                <c:pt idx="10">
                  <c:v>20.268000000000001</c:v>
                </c:pt>
                <c:pt idx="11">
                  <c:v>30.632999999999999</c:v>
                </c:pt>
                <c:pt idx="12">
                  <c:v>41.152000000000001</c:v>
                </c:pt>
                <c:pt idx="13">
                  <c:v>51.825000000000003</c:v>
                </c:pt>
                <c:pt idx="14">
                  <c:v>62.645999999999994</c:v>
                </c:pt>
                <c:pt idx="15">
                  <c:v>73.626000000000005</c:v>
                </c:pt>
                <c:pt idx="16">
                  <c:v>84.76</c:v>
                </c:pt>
                <c:pt idx="17">
                  <c:v>96.048000000000002</c:v>
                </c:pt>
                <c:pt idx="18">
                  <c:v>107.49000000000001</c:v>
                </c:pt>
                <c:pt idx="19" formatCode="0.00">
                  <c:v>119.08599999999998</c:v>
                </c:pt>
                <c:pt idx="20" formatCode="0.00">
                  <c:v>130.83600000000001</c:v>
                </c:pt>
              </c:numCache>
            </c:numRef>
          </c:xVal>
          <c:yVal>
            <c:numRef>
              <c:f>'4. SeaWater Density fit'!$D$8:$D$47</c:f>
              <c:numCache>
                <c:formatCode>0.000</c:formatCode>
                <c:ptCount val="40"/>
                <c:pt idx="0">
                  <c:v>998.2</c:v>
                </c:pt>
                <c:pt idx="1">
                  <c:v>999.5752</c:v>
                </c:pt>
                <c:pt idx="2">
                  <c:v>1001.1000000000001</c:v>
                </c:pt>
                <c:pt idx="3">
                  <c:v>1002.5999999999999</c:v>
                </c:pt>
                <c:pt idx="4">
                  <c:v>1004.1999999999999</c:v>
                </c:pt>
                <c:pt idx="5">
                  <c:v>1005.7</c:v>
                </c:pt>
                <c:pt idx="6">
                  <c:v>1007.2999999999998</c:v>
                </c:pt>
                <c:pt idx="7">
                  <c:v>1008.8</c:v>
                </c:pt>
                <c:pt idx="8">
                  <c:v>1010.3</c:v>
                </c:pt>
                <c:pt idx="9">
                  <c:v>1011.9</c:v>
                </c:pt>
                <c:pt idx="10">
                  <c:v>1013.4000000000001</c:v>
                </c:pt>
                <c:pt idx="11">
                  <c:v>1021.1000000000001</c:v>
                </c:pt>
                <c:pt idx="12">
                  <c:v>1028.8</c:v>
                </c:pt>
                <c:pt idx="13">
                  <c:v>1036.5</c:v>
                </c:pt>
                <c:pt idx="14">
                  <c:v>1044.0999999999999</c:v>
                </c:pt>
                <c:pt idx="15">
                  <c:v>1051.8</c:v>
                </c:pt>
                <c:pt idx="16">
                  <c:v>1059.5</c:v>
                </c:pt>
                <c:pt idx="17">
                  <c:v>1067.2</c:v>
                </c:pt>
                <c:pt idx="18">
                  <c:v>1074.9000000000001</c:v>
                </c:pt>
                <c:pt idx="19">
                  <c:v>1082.5999999999999</c:v>
                </c:pt>
                <c:pt idx="20">
                  <c:v>1090.3</c:v>
                </c:pt>
              </c:numCache>
            </c:numRef>
          </c:yVal>
        </c:ser>
        <c:axId val="46619264"/>
        <c:axId val="46621056"/>
      </c:scatterChart>
      <c:valAx>
        <c:axId val="46619264"/>
        <c:scaling>
          <c:orientation val="minMax"/>
        </c:scaling>
        <c:axPos val="b"/>
        <c:numFmt formatCode="General" sourceLinked="1"/>
        <c:tickLblPos val="nextTo"/>
        <c:crossAx val="46621056"/>
        <c:crosses val="autoZero"/>
        <c:crossBetween val="midCat"/>
      </c:valAx>
      <c:valAx>
        <c:axId val="46621056"/>
        <c:scaling>
          <c:orientation val="minMax"/>
        </c:scaling>
        <c:axPos val="l"/>
        <c:majorGridlines/>
        <c:numFmt formatCode="0.000" sourceLinked="1"/>
        <c:tickLblPos val="nextTo"/>
        <c:crossAx val="46619264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'5. SeaWater Viscosity fit'!$G$14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'5. SeaWater Viscosity fit'!$A$16:$A$28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xVal>
          <c:yVal>
            <c:numRef>
              <c:f>'5. SeaWater Viscosity fit'!$G$16:$G$28</c:f>
              <c:numCache>
                <c:formatCode>0.00000</c:formatCode>
                <c:ptCount val="13"/>
                <c:pt idx="0">
                  <c:v>1.0019999999999999E-2</c:v>
                </c:pt>
                <c:pt idx="1">
                  <c:v>1.0209999999999999E-2</c:v>
                </c:pt>
                <c:pt idx="2">
                  <c:v>1.043E-2</c:v>
                </c:pt>
                <c:pt idx="3">
                  <c:v>1.065E-2</c:v>
                </c:pt>
                <c:pt idx="4">
                  <c:v>1.089E-2</c:v>
                </c:pt>
                <c:pt idx="5">
                  <c:v>1.1140000000000001E-2</c:v>
                </c:pt>
                <c:pt idx="6">
                  <c:v>1.1399999999999999E-2</c:v>
                </c:pt>
                <c:pt idx="7">
                  <c:v>1.1679999999999999E-2</c:v>
                </c:pt>
                <c:pt idx="8">
                  <c:v>1.1970000000000001E-2</c:v>
                </c:pt>
                <c:pt idx="9">
                  <c:v>1.2270000000000001E-2</c:v>
                </c:pt>
                <c:pt idx="10">
                  <c:v>1.2589999999999999E-2</c:v>
                </c:pt>
                <c:pt idx="11">
                  <c:v>1.2920000000000001E-2</c:v>
                </c:pt>
                <c:pt idx="12">
                  <c:v>1.3260000000000001E-2</c:v>
                </c:pt>
              </c:numCache>
            </c:numRef>
          </c:yVal>
        </c:ser>
        <c:ser>
          <c:idx val="1"/>
          <c:order val="1"/>
          <c:tx>
            <c:strRef>
              <c:f>'5. SeaWater Viscosity fit'!$H$14</c:f>
              <c:strCache>
                <c:ptCount val="1"/>
                <c:pt idx="0">
                  <c:v>30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'5. SeaWater Viscosity fit'!$A$16:$A$28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xVal>
          <c:yVal>
            <c:numRef>
              <c:f>'5. SeaWater Viscosity fit'!$H$16:$H$28</c:f>
              <c:numCache>
                <c:formatCode>0.00000</c:formatCode>
                <c:ptCount val="13"/>
                <c:pt idx="0">
                  <c:v>7.9699999999999997E-3</c:v>
                </c:pt>
                <c:pt idx="1">
                  <c:v>8.1399999999999997E-3</c:v>
                </c:pt>
                <c:pt idx="2">
                  <c:v>8.3199999999999993E-3</c:v>
                </c:pt>
                <c:pt idx="3">
                  <c:v>8.5100000000000002E-3</c:v>
                </c:pt>
                <c:pt idx="4">
                  <c:v>8.7100000000000007E-3</c:v>
                </c:pt>
                <c:pt idx="5">
                  <c:v>8.9099999999999995E-3</c:v>
                </c:pt>
                <c:pt idx="6">
                  <c:v>9.130000000000001E-3</c:v>
                </c:pt>
                <c:pt idx="7">
                  <c:v>9.3600000000000003E-3</c:v>
                </c:pt>
                <c:pt idx="8">
                  <c:v>9.5999999999999992E-3</c:v>
                </c:pt>
                <c:pt idx="9">
                  <c:v>9.8400000000000015E-3</c:v>
                </c:pt>
                <c:pt idx="10">
                  <c:v>1.01E-2</c:v>
                </c:pt>
                <c:pt idx="11">
                  <c:v>1.0369999999999999E-2</c:v>
                </c:pt>
                <c:pt idx="12">
                  <c:v>1.064E-2</c:v>
                </c:pt>
              </c:numCache>
            </c:numRef>
          </c:yVal>
        </c:ser>
        <c:ser>
          <c:idx val="2"/>
          <c:order val="2"/>
          <c:tx>
            <c:strRef>
              <c:f>'5. SeaWater Viscosity fit'!$I$14</c:f>
              <c:strCache>
                <c:ptCount val="1"/>
                <c:pt idx="0">
                  <c:v>24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</c:trendline>
          <c:xVal>
            <c:numRef>
              <c:f>'5. SeaWater Viscosity fit'!$A$16:$A$28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xVal>
          <c:yVal>
            <c:numRef>
              <c:f>'5. SeaWater Viscosity fit'!$I$16:$I$28</c:f>
              <c:numCache>
                <c:formatCode>0.00000</c:formatCode>
                <c:ptCount val="13"/>
                <c:pt idx="0">
                  <c:v>9.1999999999999998E-3</c:v>
                </c:pt>
                <c:pt idx="1">
                  <c:v>9.381999999999998E-3</c:v>
                </c:pt>
                <c:pt idx="2">
                  <c:v>9.5860000000000008E-3</c:v>
                </c:pt>
                <c:pt idx="3">
                  <c:v>9.7940000000000006E-3</c:v>
                </c:pt>
                <c:pt idx="4">
                  <c:v>1.0018000000000001E-2</c:v>
                </c:pt>
                <c:pt idx="5">
                  <c:v>1.0248E-2</c:v>
                </c:pt>
                <c:pt idx="6">
                  <c:v>1.0492E-2</c:v>
                </c:pt>
                <c:pt idx="7">
                  <c:v>1.0751999999999999E-2</c:v>
                </c:pt>
                <c:pt idx="8">
                  <c:v>1.1022000000000001E-2</c:v>
                </c:pt>
                <c:pt idx="9">
                  <c:v>1.1298000000000002E-2</c:v>
                </c:pt>
                <c:pt idx="10">
                  <c:v>1.1594E-2</c:v>
                </c:pt>
                <c:pt idx="11">
                  <c:v>1.1900000000000001E-2</c:v>
                </c:pt>
                <c:pt idx="12">
                  <c:v>1.2212000000000001E-2</c:v>
                </c:pt>
              </c:numCache>
            </c:numRef>
          </c:yVal>
        </c:ser>
        <c:ser>
          <c:idx val="3"/>
          <c:order val="3"/>
          <c:tx>
            <c:strRef>
              <c:f>'5. SeaWater Viscosity fit'!$K$14</c:f>
              <c:strCache>
                <c:ptCount val="1"/>
                <c:pt idx="0">
                  <c:v>26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>
                <c:manualLayout>
                  <c:x val="2.0427384076990386E-2"/>
                  <c:y val="0.39013560804899389"/>
                </c:manualLayout>
              </c:layout>
              <c:numFmt formatCode="General" sourceLinked="0"/>
            </c:trendlineLbl>
          </c:trendline>
          <c:xVal>
            <c:numRef>
              <c:f>'5. SeaWater Viscosity fit'!$A$16:$A$28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xVal>
          <c:yVal>
            <c:numRef>
              <c:f>'5. SeaWater Viscosity fit'!$K$16:$K$28</c:f>
              <c:numCache>
                <c:formatCode>0.00000</c:formatCode>
                <c:ptCount val="13"/>
                <c:pt idx="0">
                  <c:v>8.7899999999999992E-3</c:v>
                </c:pt>
                <c:pt idx="1">
                  <c:v>8.9679999999999985E-3</c:v>
                </c:pt>
                <c:pt idx="2">
                  <c:v>9.1640000000000003E-3</c:v>
                </c:pt>
                <c:pt idx="3">
                  <c:v>9.3659999999999993E-3</c:v>
                </c:pt>
                <c:pt idx="4">
                  <c:v>9.5820000000000002E-3</c:v>
                </c:pt>
                <c:pt idx="5">
                  <c:v>9.8019999999999999E-3</c:v>
                </c:pt>
                <c:pt idx="6">
                  <c:v>1.0038E-2</c:v>
                </c:pt>
                <c:pt idx="7">
                  <c:v>1.0288E-2</c:v>
                </c:pt>
                <c:pt idx="8">
                  <c:v>1.0548E-2</c:v>
                </c:pt>
                <c:pt idx="9">
                  <c:v>1.0812000000000002E-2</c:v>
                </c:pt>
                <c:pt idx="10">
                  <c:v>1.1096E-2</c:v>
                </c:pt>
                <c:pt idx="11">
                  <c:v>1.1389999999999999E-2</c:v>
                </c:pt>
                <c:pt idx="12">
                  <c:v>1.1688E-2</c:v>
                </c:pt>
              </c:numCache>
            </c:numRef>
          </c:yVal>
        </c:ser>
        <c:axId val="46708608"/>
        <c:axId val="47185920"/>
      </c:scatterChart>
      <c:valAx>
        <c:axId val="46708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</a:t>
                </a:r>
                <a:r>
                  <a:rPr lang="en-US" baseline="0"/>
                  <a:t> (g/L)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7185920"/>
        <c:crosses val="autoZero"/>
        <c:crossBetween val="midCat"/>
      </c:valAx>
      <c:valAx>
        <c:axId val="47185920"/>
        <c:scaling>
          <c:orientation val="minMax"/>
          <c:max val="1.4000000000000002E-2"/>
          <c:min val="6.0000000000000045E-3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Dynamic</a:t>
                </a:r>
                <a:r>
                  <a:rPr lang="en-US" baseline="0"/>
                  <a:t> Viscosity (g/cm s)</a:t>
                </a:r>
                <a:endParaRPr lang="en-US"/>
              </a:p>
            </c:rich>
          </c:tx>
          <c:layout/>
        </c:title>
        <c:numFmt formatCode="0.00000" sourceLinked="1"/>
        <c:tickLblPos val="nextTo"/>
        <c:crossAx val="467086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'5. SeaWater Viscosity fit'!$M$14</c:f>
              <c:strCache>
                <c:ptCount val="1"/>
                <c:pt idx="0">
                  <c:v>20</c:v>
                </c:pt>
              </c:strCache>
            </c:strRef>
          </c:tx>
          <c:spPr>
            <a:ln w="28575">
              <a:noFill/>
            </a:ln>
          </c:spPr>
          <c:xVal>
            <c:numRef>
              <c:f>'5. SeaWater Viscosity fit'!$D$16:$D$28</c:f>
              <c:numCache>
                <c:formatCode>General</c:formatCode>
                <c:ptCount val="13"/>
                <c:pt idx="0">
                  <c:v>0</c:v>
                </c:pt>
                <c:pt idx="1">
                  <c:v>10.057</c:v>
                </c:pt>
                <c:pt idx="2">
                  <c:v>20.268000000000001</c:v>
                </c:pt>
                <c:pt idx="3">
                  <c:v>30.632999999999999</c:v>
                </c:pt>
                <c:pt idx="4">
                  <c:v>41.152000000000001</c:v>
                </c:pt>
                <c:pt idx="5">
                  <c:v>51.825000000000003</c:v>
                </c:pt>
                <c:pt idx="6">
                  <c:v>62.645999999999994</c:v>
                </c:pt>
                <c:pt idx="7">
                  <c:v>73.626000000000005</c:v>
                </c:pt>
                <c:pt idx="8">
                  <c:v>84.76</c:v>
                </c:pt>
                <c:pt idx="9">
                  <c:v>96.048000000000002</c:v>
                </c:pt>
                <c:pt idx="10">
                  <c:v>107.49000000000001</c:v>
                </c:pt>
                <c:pt idx="11">
                  <c:v>119.08599999999998</c:v>
                </c:pt>
                <c:pt idx="12">
                  <c:v>130.83600000000001</c:v>
                </c:pt>
              </c:numCache>
            </c:numRef>
          </c:xVal>
          <c:yVal>
            <c:numRef>
              <c:f>'5. SeaWater Viscosity fit'!$M$16:$M$28</c:f>
              <c:numCache>
                <c:formatCode>0.00000</c:formatCode>
                <c:ptCount val="13"/>
                <c:pt idx="0">
                  <c:v>1.9999999999999185E-5</c:v>
                </c:pt>
                <c:pt idx="1">
                  <c:v>-1.6788216245001292E-5</c:v>
                </c:pt>
                <c:pt idx="2">
                  <c:v>-2.8083959120000362E-5</c:v>
                </c:pt>
                <c:pt idx="3">
                  <c:v>-4.3934403445000311E-5</c:v>
                </c:pt>
                <c:pt idx="4">
                  <c:v>-4.4387435520000171E-5</c:v>
                </c:pt>
                <c:pt idx="5">
                  <c:v>-3.9491653124999401E-5</c:v>
                </c:pt>
                <c:pt idx="6">
                  <c:v>-2.9157606580001647E-5</c:v>
                </c:pt>
                <c:pt idx="7">
                  <c:v>-3.6889393800008247E-6</c:v>
                </c:pt>
                <c:pt idx="8">
                  <c:v>2.6978712000001043E-5</c:v>
                </c:pt>
                <c:pt idx="9">
                  <c:v>6.279390848000152E-5</c:v>
                </c:pt>
                <c:pt idx="10">
                  <c:v>1.1370449949999785E-4</c:v>
                </c:pt>
                <c:pt idx="11">
                  <c:v>1.6965762302000031E-4</c:v>
                </c:pt>
                <c:pt idx="12">
                  <c:v>2.3059970552000153E-4</c:v>
                </c:pt>
              </c:numCache>
            </c:numRef>
          </c:yVal>
        </c:ser>
        <c:axId val="47201664"/>
        <c:axId val="47212032"/>
      </c:scatterChart>
      <c:valAx>
        <c:axId val="47201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Salinity</a:t>
                </a:r>
                <a:r>
                  <a:rPr lang="en-US" baseline="0"/>
                  <a:t> (g/L)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7212032"/>
        <c:crosses val="autoZero"/>
        <c:crossBetween val="midCat"/>
      </c:valAx>
      <c:valAx>
        <c:axId val="47212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Dynamic</a:t>
                </a:r>
                <a:r>
                  <a:rPr lang="en-US" baseline="0"/>
                  <a:t> Viscosity (g/cm s)</a:t>
                </a:r>
                <a:endParaRPr lang="en-US"/>
              </a:p>
            </c:rich>
          </c:tx>
          <c:layout/>
        </c:title>
        <c:numFmt formatCode="#,##0.0000" sourceLinked="0"/>
        <c:tickLblPos val="nextTo"/>
        <c:crossAx val="472016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2.png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10.xml"/><Relationship Id="rId7" Type="http://schemas.openxmlformats.org/officeDocument/2006/relationships/image" Target="../media/image5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chart" Target="../charts/chart11.xml"/><Relationship Id="rId9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7</xdr:row>
      <xdr:rowOff>9525</xdr:rowOff>
    </xdr:from>
    <xdr:to>
      <xdr:col>19</xdr:col>
      <xdr:colOff>533400</xdr:colOff>
      <xdr:row>24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25</xdr:row>
      <xdr:rowOff>142875</xdr:rowOff>
    </xdr:from>
    <xdr:to>
      <xdr:col>19</xdr:col>
      <xdr:colOff>457200</xdr:colOff>
      <xdr:row>42</xdr:row>
      <xdr:rowOff>133350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523875</xdr:colOff>
      <xdr:row>40</xdr:row>
      <xdr:rowOff>57150</xdr:rowOff>
    </xdr:from>
    <xdr:to>
      <xdr:col>11</xdr:col>
      <xdr:colOff>504825</xdr:colOff>
      <xdr:row>57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17</xdr:col>
      <xdr:colOff>600075</xdr:colOff>
      <xdr:row>2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734550" y="161925"/>
          <a:ext cx="2428875" cy="209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219075</xdr:colOff>
      <xdr:row>3</xdr:row>
      <xdr:rowOff>123825</xdr:rowOff>
    </xdr:from>
    <xdr:to>
      <xdr:col>22</xdr:col>
      <xdr:colOff>523875</xdr:colOff>
      <xdr:row>18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257175</xdr:colOff>
      <xdr:row>19</xdr:row>
      <xdr:rowOff>76200</xdr:rowOff>
    </xdr:from>
    <xdr:to>
      <xdr:col>22</xdr:col>
      <xdr:colOff>561975</xdr:colOff>
      <xdr:row>35</xdr:row>
      <xdr:rowOff>9525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619125</xdr:colOff>
      <xdr:row>36</xdr:row>
      <xdr:rowOff>38100</xdr:rowOff>
    </xdr:from>
    <xdr:to>
      <xdr:col>12</xdr:col>
      <xdr:colOff>95250</xdr:colOff>
      <xdr:row>53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495300</xdr:colOff>
      <xdr:row>37</xdr:row>
      <xdr:rowOff>0</xdr:rowOff>
    </xdr:from>
    <xdr:to>
      <xdr:col>22</xdr:col>
      <xdr:colOff>228600</xdr:colOff>
      <xdr:row>53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</xdr:row>
      <xdr:rowOff>0</xdr:rowOff>
    </xdr:from>
    <xdr:to>
      <xdr:col>20</xdr:col>
      <xdr:colOff>276225</xdr:colOff>
      <xdr:row>2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963150" y="161925"/>
          <a:ext cx="2714625" cy="209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314325</xdr:colOff>
      <xdr:row>0</xdr:row>
      <xdr:rowOff>85725</xdr:rowOff>
    </xdr:from>
    <xdr:to>
      <xdr:col>36</xdr:col>
      <xdr:colOff>85725</xdr:colOff>
      <xdr:row>14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30</xdr:row>
      <xdr:rowOff>57150</xdr:rowOff>
    </xdr:from>
    <xdr:to>
      <xdr:col>7</xdr:col>
      <xdr:colOff>190500</xdr:colOff>
      <xdr:row>44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504825</xdr:colOff>
      <xdr:row>30</xdr:row>
      <xdr:rowOff>66675</xdr:rowOff>
    </xdr:from>
    <xdr:to>
      <xdr:col>16</xdr:col>
      <xdr:colOff>133350</xdr:colOff>
      <xdr:row>44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361950</xdr:colOff>
      <xdr:row>30</xdr:row>
      <xdr:rowOff>47625</xdr:rowOff>
    </xdr:from>
    <xdr:to>
      <xdr:col>31</xdr:col>
      <xdr:colOff>114300</xdr:colOff>
      <xdr:row>43</xdr:row>
      <xdr:rowOff>190500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76200</xdr:colOff>
      <xdr:row>20</xdr:row>
      <xdr:rowOff>9525</xdr:rowOff>
    </xdr:from>
    <xdr:to>
      <xdr:col>32</xdr:col>
      <xdr:colOff>257175</xdr:colOff>
      <xdr:row>21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421475" y="4010025"/>
          <a:ext cx="2924175" cy="190500"/>
        </a:xfrm>
        <a:prstGeom prst="rect">
          <a:avLst/>
        </a:prstGeom>
        <a:noFill/>
      </xdr:spPr>
    </xdr:pic>
    <xdr:clientData/>
  </xdr:twoCellAnchor>
  <xdr:twoCellAnchor>
    <xdr:from>
      <xdr:col>28</xdr:col>
      <xdr:colOff>180975</xdr:colOff>
      <xdr:row>23</xdr:row>
      <xdr:rowOff>38100</xdr:rowOff>
    </xdr:from>
    <xdr:to>
      <xdr:col>32</xdr:col>
      <xdr:colOff>285750</xdr:colOff>
      <xdr:row>24</xdr:row>
      <xdr:rowOff>28575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526250" y="4638675"/>
          <a:ext cx="2847975" cy="190500"/>
        </a:xfrm>
        <a:prstGeom prst="rect">
          <a:avLst/>
        </a:prstGeom>
        <a:noFill/>
      </xdr:spPr>
    </xdr:pic>
    <xdr:clientData/>
  </xdr:twoCellAnchor>
  <xdr:twoCellAnchor>
    <xdr:from>
      <xdr:col>28</xdr:col>
      <xdr:colOff>57150</xdr:colOff>
      <xdr:row>29</xdr:row>
      <xdr:rowOff>0</xdr:rowOff>
    </xdr:from>
    <xdr:to>
      <xdr:col>32</xdr:col>
      <xdr:colOff>161925</xdr:colOff>
      <xdr:row>29</xdr:row>
      <xdr:rowOff>190500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402425" y="5800725"/>
          <a:ext cx="2847975" cy="190500"/>
        </a:xfrm>
        <a:prstGeom prst="rect">
          <a:avLst/>
        </a:prstGeom>
        <a:noFill/>
      </xdr:spPr>
    </xdr:pic>
    <xdr:clientData/>
  </xdr:twoCellAnchor>
  <xdr:twoCellAnchor>
    <xdr:from>
      <xdr:col>16</xdr:col>
      <xdr:colOff>666750</xdr:colOff>
      <xdr:row>30</xdr:row>
      <xdr:rowOff>66675</xdr:rowOff>
    </xdr:from>
    <xdr:to>
      <xdr:col>23</xdr:col>
      <xdr:colOff>419100</xdr:colOff>
      <xdr:row>44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133350</xdr:colOff>
      <xdr:row>26</xdr:row>
      <xdr:rowOff>19050</xdr:rowOff>
    </xdr:from>
    <xdr:to>
      <xdr:col>32</xdr:col>
      <xdr:colOff>314325</xdr:colOff>
      <xdr:row>27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478625" y="5219700"/>
          <a:ext cx="2924175" cy="190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1</xdr:row>
      <xdr:rowOff>38100</xdr:rowOff>
    </xdr:from>
    <xdr:to>
      <xdr:col>22</xdr:col>
      <xdr:colOff>495300</xdr:colOff>
      <xdr:row>18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190500</xdr:colOff>
      <xdr:row>20</xdr:row>
      <xdr:rowOff>38100</xdr:rowOff>
    </xdr:from>
    <xdr:to>
      <xdr:col>22</xdr:col>
      <xdr:colOff>495300</xdr:colOff>
      <xdr:row>37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41</xdr:row>
      <xdr:rowOff>104775</xdr:rowOff>
    </xdr:from>
    <xdr:to>
      <xdr:col>15</xdr:col>
      <xdr:colOff>552450</xdr:colOff>
      <xdr:row>58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139700</xdr:colOff>
      <xdr:row>23</xdr:row>
      <xdr:rowOff>139700</xdr:rowOff>
    </xdr:from>
    <xdr:to>
      <xdr:col>11</xdr:col>
      <xdr:colOff>552450</xdr:colOff>
      <xdr:row>40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58</xdr:row>
      <xdr:rowOff>152400</xdr:rowOff>
    </xdr:from>
    <xdr:to>
      <xdr:col>7</xdr:col>
      <xdr:colOff>635000</xdr:colOff>
      <xdr:row>75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238124</xdr:colOff>
      <xdr:row>90</xdr:row>
      <xdr:rowOff>57150</xdr:rowOff>
    </xdr:from>
    <xdr:to>
      <xdr:col>7</xdr:col>
      <xdr:colOff>438149</xdr:colOff>
      <xdr:row>104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647700</xdr:colOff>
      <xdr:row>127</xdr:row>
      <xdr:rowOff>44450</xdr:rowOff>
    </xdr:from>
    <xdr:to>
      <xdr:col>7</xdr:col>
      <xdr:colOff>1155700</xdr:colOff>
      <xdr:row>141</xdr:row>
      <xdr:rowOff>120650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5"/>
  <sheetViews>
    <sheetView workbookViewId="0">
      <selection activeCell="C8" sqref="C8:C38"/>
    </sheetView>
  </sheetViews>
  <sheetFormatPr defaultColWidth="11" defaultRowHeight="15.75"/>
  <cols>
    <col min="1" max="1" width="12" customWidth="1"/>
    <col min="3" max="3" width="11.125" bestFit="1" customWidth="1"/>
    <col min="4" max="4" width="11.375" bestFit="1" customWidth="1"/>
  </cols>
  <sheetData>
    <row r="1" spans="1:4">
      <c r="A1" s="11" t="s">
        <v>43</v>
      </c>
    </row>
    <row r="3" spans="1:4">
      <c r="A3" s="11" t="s">
        <v>44</v>
      </c>
      <c r="B3" s="11"/>
    </row>
    <row r="4" spans="1:4">
      <c r="A4" t="s">
        <v>40</v>
      </c>
    </row>
    <row r="6" spans="1:4">
      <c r="A6" s="15" t="s">
        <v>45</v>
      </c>
      <c r="B6" s="15" t="s">
        <v>48</v>
      </c>
      <c r="C6" s="15" t="s">
        <v>48</v>
      </c>
      <c r="D6" s="15" t="s">
        <v>45</v>
      </c>
    </row>
    <row r="7" spans="1:4">
      <c r="A7" s="15" t="s">
        <v>47</v>
      </c>
      <c r="B7" s="15" t="s">
        <v>24</v>
      </c>
      <c r="C7" s="15" t="s">
        <v>0</v>
      </c>
      <c r="D7" s="15" t="s">
        <v>1</v>
      </c>
    </row>
    <row r="8" spans="1:4">
      <c r="A8" s="13">
        <v>0</v>
      </c>
      <c r="B8" s="13">
        <v>998.2</v>
      </c>
      <c r="C8" s="13">
        <f>(B8)/1000</f>
        <v>0.99820000000000009</v>
      </c>
      <c r="D8" s="13">
        <f>A8*B8/1000</f>
        <v>0</v>
      </c>
    </row>
    <row r="9" spans="1:4">
      <c r="A9" s="13">
        <v>1</v>
      </c>
      <c r="B9" s="13">
        <v>998.80669999999998</v>
      </c>
      <c r="C9" s="13">
        <f t="shared" ref="C9:C27" si="0">(B9)/1000</f>
        <v>0.99880669999999994</v>
      </c>
      <c r="D9" s="13">
        <f t="shared" ref="D9:D27" si="1">A9*B9/1000</f>
        <v>0.99880669999999994</v>
      </c>
    </row>
    <row r="10" spans="1:4">
      <c r="A10" s="13">
        <v>2</v>
      </c>
      <c r="B10" s="13">
        <v>999.5752</v>
      </c>
      <c r="C10" s="13">
        <f t="shared" si="0"/>
        <v>0.9995752</v>
      </c>
      <c r="D10" s="13">
        <f t="shared" si="1"/>
        <v>1.9991504</v>
      </c>
    </row>
    <row r="11" spans="1:4">
      <c r="A11" s="13">
        <v>3</v>
      </c>
      <c r="B11" s="13">
        <v>1000.3</v>
      </c>
      <c r="C11" s="13">
        <f t="shared" si="0"/>
        <v>1.0003</v>
      </c>
      <c r="D11" s="13">
        <f t="shared" si="1"/>
        <v>3.0008999999999997</v>
      </c>
    </row>
    <row r="12" spans="1:4">
      <c r="A12" s="13">
        <v>4</v>
      </c>
      <c r="B12" s="13">
        <v>1001.1</v>
      </c>
      <c r="C12" s="13">
        <f t="shared" si="0"/>
        <v>1.0011000000000001</v>
      </c>
      <c r="D12" s="13">
        <f t="shared" si="1"/>
        <v>4.0044000000000004</v>
      </c>
    </row>
    <row r="13" spans="1:4">
      <c r="A13" s="13">
        <v>5</v>
      </c>
      <c r="B13" s="13">
        <v>1001.9</v>
      </c>
      <c r="C13" s="13">
        <f t="shared" si="0"/>
        <v>1.0019</v>
      </c>
      <c r="D13" s="13">
        <f t="shared" si="1"/>
        <v>5.0095000000000001</v>
      </c>
    </row>
    <row r="14" spans="1:4">
      <c r="A14" s="13">
        <v>6</v>
      </c>
      <c r="B14" s="13">
        <v>1002.6</v>
      </c>
      <c r="C14" s="13">
        <f t="shared" si="0"/>
        <v>1.0025999999999999</v>
      </c>
      <c r="D14" s="13">
        <f t="shared" si="1"/>
        <v>6.0156000000000001</v>
      </c>
    </row>
    <row r="15" spans="1:4">
      <c r="A15" s="13">
        <v>7</v>
      </c>
      <c r="B15" s="13">
        <v>1003.4</v>
      </c>
      <c r="C15" s="13">
        <f t="shared" si="0"/>
        <v>1.0034000000000001</v>
      </c>
      <c r="D15" s="13">
        <f t="shared" si="1"/>
        <v>7.0238000000000005</v>
      </c>
    </row>
    <row r="16" spans="1:4">
      <c r="A16" s="13">
        <v>8</v>
      </c>
      <c r="B16" s="13">
        <v>1004.2</v>
      </c>
      <c r="C16" s="13">
        <f t="shared" si="0"/>
        <v>1.0042</v>
      </c>
      <c r="D16" s="13">
        <f t="shared" si="1"/>
        <v>8.0335999999999999</v>
      </c>
    </row>
    <row r="17" spans="1:4">
      <c r="A17" s="13">
        <v>9</v>
      </c>
      <c r="B17" s="13">
        <v>1005</v>
      </c>
      <c r="C17" s="13">
        <f t="shared" si="0"/>
        <v>1.0049999999999999</v>
      </c>
      <c r="D17" s="13">
        <f t="shared" si="1"/>
        <v>9.0449999999999999</v>
      </c>
    </row>
    <row r="18" spans="1:4">
      <c r="A18" s="13">
        <v>10</v>
      </c>
      <c r="B18" s="13">
        <v>1005.7</v>
      </c>
      <c r="C18" s="13">
        <f t="shared" si="0"/>
        <v>1.0057</v>
      </c>
      <c r="D18" s="13">
        <f t="shared" si="1"/>
        <v>10.057</v>
      </c>
    </row>
    <row r="19" spans="1:4">
      <c r="A19" s="13">
        <v>11</v>
      </c>
      <c r="B19" s="13">
        <v>1006.5</v>
      </c>
      <c r="C19" s="13">
        <f t="shared" si="0"/>
        <v>1.0065</v>
      </c>
      <c r="D19" s="13">
        <f t="shared" si="1"/>
        <v>11.0715</v>
      </c>
    </row>
    <row r="20" spans="1:4">
      <c r="A20" s="13">
        <v>12</v>
      </c>
      <c r="B20" s="13">
        <v>1007.3</v>
      </c>
      <c r="C20" s="13">
        <f t="shared" si="0"/>
        <v>1.0072999999999999</v>
      </c>
      <c r="D20" s="13">
        <f t="shared" si="1"/>
        <v>12.087599999999998</v>
      </c>
    </row>
    <row r="21" spans="1:4">
      <c r="A21" s="13">
        <v>13</v>
      </c>
      <c r="B21" s="13">
        <v>1008</v>
      </c>
      <c r="C21" s="13">
        <f t="shared" si="0"/>
        <v>1.008</v>
      </c>
      <c r="D21" s="13">
        <f t="shared" si="1"/>
        <v>13.103999999999999</v>
      </c>
    </row>
    <row r="22" spans="1:4">
      <c r="A22" s="13">
        <v>14</v>
      </c>
      <c r="B22" s="13">
        <v>1008.8</v>
      </c>
      <c r="C22" s="13">
        <f t="shared" si="0"/>
        <v>1.0087999999999999</v>
      </c>
      <c r="D22" s="13">
        <f t="shared" si="1"/>
        <v>14.123199999999999</v>
      </c>
    </row>
    <row r="23" spans="1:4">
      <c r="A23" s="13">
        <v>15</v>
      </c>
      <c r="B23" s="13">
        <v>1009.6</v>
      </c>
      <c r="C23" s="13">
        <f t="shared" si="0"/>
        <v>1.0096000000000001</v>
      </c>
      <c r="D23" s="13">
        <f t="shared" si="1"/>
        <v>15.144</v>
      </c>
    </row>
    <row r="24" spans="1:4">
      <c r="A24" s="13">
        <v>16</v>
      </c>
      <c r="B24" s="13">
        <v>1010.3</v>
      </c>
      <c r="C24" s="13">
        <f t="shared" si="0"/>
        <v>1.0103</v>
      </c>
      <c r="D24" s="13">
        <f t="shared" si="1"/>
        <v>16.1648</v>
      </c>
    </row>
    <row r="25" spans="1:4">
      <c r="A25" s="13">
        <v>17</v>
      </c>
      <c r="B25" s="13">
        <v>1011.1</v>
      </c>
      <c r="C25" s="13">
        <f t="shared" si="0"/>
        <v>1.0111000000000001</v>
      </c>
      <c r="D25" s="13">
        <f t="shared" si="1"/>
        <v>17.188700000000001</v>
      </c>
    </row>
    <row r="26" spans="1:4">
      <c r="A26" s="13">
        <v>18</v>
      </c>
      <c r="B26" s="13">
        <v>1011.9</v>
      </c>
      <c r="C26" s="13">
        <f t="shared" si="0"/>
        <v>1.0119</v>
      </c>
      <c r="D26" s="13">
        <f t="shared" si="1"/>
        <v>18.214200000000002</v>
      </c>
    </row>
    <row r="27" spans="1:4">
      <c r="A27" s="13">
        <v>19</v>
      </c>
      <c r="B27" s="13">
        <v>1012.6</v>
      </c>
      <c r="C27" s="13">
        <f t="shared" si="0"/>
        <v>1.0125999999999999</v>
      </c>
      <c r="D27" s="13">
        <f t="shared" si="1"/>
        <v>19.2394</v>
      </c>
    </row>
    <row r="28" spans="1:4">
      <c r="A28" s="13">
        <v>20</v>
      </c>
      <c r="B28" s="13">
        <v>1013.4</v>
      </c>
      <c r="C28" s="13">
        <f t="shared" ref="C28:C38" si="2">(B28)/1000</f>
        <v>1.0134000000000001</v>
      </c>
      <c r="D28" s="13">
        <f t="shared" ref="D28:D38" si="3">A28*B28/1000</f>
        <v>20.268000000000001</v>
      </c>
    </row>
    <row r="29" spans="1:4">
      <c r="A29" s="13">
        <v>30</v>
      </c>
      <c r="B29" s="13">
        <v>1021.1</v>
      </c>
      <c r="C29" s="13">
        <f t="shared" si="2"/>
        <v>1.0211000000000001</v>
      </c>
      <c r="D29" s="13">
        <f t="shared" si="3"/>
        <v>30.632999999999999</v>
      </c>
    </row>
    <row r="30" spans="1:4">
      <c r="A30" s="13">
        <v>40</v>
      </c>
      <c r="B30" s="13">
        <v>1028.8</v>
      </c>
      <c r="C30" s="13">
        <f t="shared" si="2"/>
        <v>1.0287999999999999</v>
      </c>
      <c r="D30" s="13">
        <f t="shared" si="3"/>
        <v>41.152000000000001</v>
      </c>
    </row>
    <row r="31" spans="1:4">
      <c r="A31" s="13">
        <v>50</v>
      </c>
      <c r="B31" s="13">
        <v>1036.5</v>
      </c>
      <c r="C31" s="13">
        <f t="shared" si="2"/>
        <v>1.0365</v>
      </c>
      <c r="D31" s="13">
        <f t="shared" si="3"/>
        <v>51.825000000000003</v>
      </c>
    </row>
    <row r="32" spans="1:4">
      <c r="A32" s="13">
        <v>60</v>
      </c>
      <c r="B32" s="13">
        <v>1044.0999999999999</v>
      </c>
      <c r="C32" s="13">
        <f t="shared" si="2"/>
        <v>1.0440999999999998</v>
      </c>
      <c r="D32" s="13">
        <f t="shared" si="3"/>
        <v>62.645999999999994</v>
      </c>
    </row>
    <row r="33" spans="1:4">
      <c r="A33" s="13">
        <v>70</v>
      </c>
      <c r="B33" s="13">
        <v>1051.8</v>
      </c>
      <c r="C33" s="13">
        <f t="shared" si="2"/>
        <v>1.0517999999999998</v>
      </c>
      <c r="D33" s="13">
        <f t="shared" si="3"/>
        <v>73.626000000000005</v>
      </c>
    </row>
    <row r="34" spans="1:4">
      <c r="A34" s="13">
        <v>80</v>
      </c>
      <c r="B34" s="13">
        <v>1059.5</v>
      </c>
      <c r="C34" s="13">
        <f t="shared" si="2"/>
        <v>1.0595000000000001</v>
      </c>
      <c r="D34" s="13">
        <f t="shared" si="3"/>
        <v>84.76</v>
      </c>
    </row>
    <row r="35" spans="1:4">
      <c r="A35" s="13">
        <v>90</v>
      </c>
      <c r="B35" s="13">
        <v>1067.2</v>
      </c>
      <c r="C35" s="13">
        <f t="shared" si="2"/>
        <v>1.0672000000000001</v>
      </c>
      <c r="D35" s="13">
        <f t="shared" si="3"/>
        <v>96.048000000000002</v>
      </c>
    </row>
    <row r="36" spans="1:4">
      <c r="A36" s="13">
        <v>100</v>
      </c>
      <c r="B36" s="13">
        <v>1074.9000000000001</v>
      </c>
      <c r="C36" s="13">
        <f t="shared" si="2"/>
        <v>1.0749000000000002</v>
      </c>
      <c r="D36" s="13">
        <f t="shared" si="3"/>
        <v>107.49000000000001</v>
      </c>
    </row>
    <row r="37" spans="1:4">
      <c r="A37" s="13">
        <v>110</v>
      </c>
      <c r="B37" s="13">
        <v>1082.5999999999999</v>
      </c>
      <c r="C37" s="13">
        <f t="shared" si="2"/>
        <v>1.0826</v>
      </c>
      <c r="D37" s="13">
        <f t="shared" si="3"/>
        <v>119.08599999999998</v>
      </c>
    </row>
    <row r="38" spans="1:4">
      <c r="A38" s="13">
        <v>120</v>
      </c>
      <c r="B38" s="14">
        <v>1090.3</v>
      </c>
      <c r="C38" s="13">
        <f t="shared" si="2"/>
        <v>1.0903</v>
      </c>
      <c r="D38" s="13">
        <f t="shared" si="3"/>
        <v>130.83600000000001</v>
      </c>
    </row>
    <row r="39" spans="1:4">
      <c r="A39" s="6"/>
      <c r="B39" s="1"/>
    </row>
    <row r="43" spans="1:4">
      <c r="A43" s="11" t="s">
        <v>57</v>
      </c>
      <c r="B43" s="11"/>
      <c r="C43" s="11"/>
    </row>
    <row r="44" spans="1:4">
      <c r="A44" t="s">
        <v>30</v>
      </c>
    </row>
    <row r="45" spans="1:4">
      <c r="A45" t="s">
        <v>35</v>
      </c>
    </row>
    <row r="46" spans="1:4">
      <c r="A46" t="s">
        <v>31</v>
      </c>
      <c r="B46">
        <v>20</v>
      </c>
    </row>
    <row r="47" spans="1:4">
      <c r="A47" t="s">
        <v>32</v>
      </c>
      <c r="B47">
        <f>999.842594+0.06793952*B46-0.00909529*(B46^2)+0.0001001685*(B46^3)-0.000001120083*(B46^4)+0.000000006536332*(B46^5)</f>
        <v>998.2063193823999</v>
      </c>
      <c r="C47" t="s">
        <v>24</v>
      </c>
    </row>
    <row r="49" spans="1:4">
      <c r="A49" s="15" t="s">
        <v>45</v>
      </c>
      <c r="B49" s="15" t="s">
        <v>59</v>
      </c>
      <c r="C49" s="15" t="s">
        <v>59</v>
      </c>
      <c r="D49" s="15" t="s">
        <v>45</v>
      </c>
    </row>
    <row r="50" spans="1:4">
      <c r="A50" s="15" t="s">
        <v>58</v>
      </c>
      <c r="B50" s="15" t="s">
        <v>24</v>
      </c>
      <c r="C50" s="15" t="s">
        <v>0</v>
      </c>
      <c r="D50" s="15" t="s">
        <v>1</v>
      </c>
    </row>
    <row r="51" spans="1:4">
      <c r="A51" s="13">
        <v>1</v>
      </c>
      <c r="B51" s="13">
        <f t="shared" ref="B51:B62" si="4">$B$47+A51*(0.824493-0.0040899*$B$46+0.000076438*($B$46^2)-0.00000082467*($B$46^3)+0.0000000053875*($B$46^4))+(A51^1.5)*(-0.00572466+0.00010227*$B$46-0.0000016546*($B$46^2))+0.00048314*(A51^2)</f>
        <v>998.96999626239995</v>
      </c>
      <c r="C51" s="13">
        <f t="shared" ref="C51:C62" si="5">(B51)/1000</f>
        <v>0.99896999626239991</v>
      </c>
      <c r="D51" s="13">
        <f t="shared" ref="D51:D62" si="6">A51*B51/1000</f>
        <v>0.99896999626239991</v>
      </c>
    </row>
    <row r="52" spans="1:4">
      <c r="A52" s="13">
        <v>4</v>
      </c>
      <c r="B52" s="13">
        <f t="shared" si="4"/>
        <v>1001.2494601823998</v>
      </c>
      <c r="C52" s="13">
        <f t="shared" si="5"/>
        <v>1.0012494601823998</v>
      </c>
      <c r="D52" s="13">
        <f t="shared" si="6"/>
        <v>4.0049978407295992</v>
      </c>
    </row>
    <row r="53" spans="1:4">
      <c r="A53" s="13">
        <v>10</v>
      </c>
      <c r="B53" s="13">
        <f t="shared" si="4"/>
        <v>1005.7927041468943</v>
      </c>
      <c r="C53" s="13">
        <f t="shared" si="5"/>
        <v>1.0057927041468944</v>
      </c>
      <c r="D53" s="13">
        <f t="shared" si="6"/>
        <v>10.057927041468941</v>
      </c>
    </row>
    <row r="54" spans="1:4">
      <c r="A54" s="13">
        <v>16</v>
      </c>
      <c r="B54" s="13">
        <f t="shared" si="4"/>
        <v>1010.3327302624</v>
      </c>
      <c r="C54" s="13">
        <f t="shared" si="5"/>
        <v>1.0103327302623999</v>
      </c>
      <c r="D54" s="13">
        <f t="shared" si="6"/>
        <v>16.165323684198398</v>
      </c>
    </row>
    <row r="55" spans="1:4">
      <c r="A55" s="13">
        <v>20</v>
      </c>
      <c r="B55" s="13">
        <f t="shared" si="4"/>
        <v>1013.361992394515</v>
      </c>
      <c r="C55" s="13">
        <f t="shared" si="5"/>
        <v>1.013361992394515</v>
      </c>
      <c r="D55" s="13">
        <f t="shared" si="6"/>
        <v>20.267239847890302</v>
      </c>
    </row>
    <row r="56" spans="1:4">
      <c r="A56" s="13">
        <v>32</v>
      </c>
      <c r="B56" s="13">
        <f t="shared" si="4"/>
        <v>1022.4763465829609</v>
      </c>
      <c r="C56" s="13">
        <f t="shared" si="5"/>
        <v>1.0224763465829609</v>
      </c>
      <c r="D56" s="13">
        <f t="shared" si="6"/>
        <v>32.71924309065475</v>
      </c>
    </row>
    <row r="57" spans="1:4">
      <c r="A57" s="13">
        <v>64</v>
      </c>
      <c r="B57" s="13">
        <f t="shared" si="4"/>
        <v>1047.0848473823999</v>
      </c>
      <c r="C57" s="13">
        <f t="shared" si="5"/>
        <v>1.0470848473823999</v>
      </c>
      <c r="D57" s="13">
        <f t="shared" si="6"/>
        <v>67.013430232473596</v>
      </c>
    </row>
    <row r="58" spans="1:4">
      <c r="A58" s="13">
        <v>80</v>
      </c>
      <c r="B58" s="13">
        <f t="shared" si="4"/>
        <v>1059.59496427932</v>
      </c>
      <c r="C58" s="13">
        <f t="shared" si="5"/>
        <v>1.0595949642793201</v>
      </c>
      <c r="D58" s="13">
        <f t="shared" si="6"/>
        <v>84.767597142345608</v>
      </c>
    </row>
    <row r="59" spans="1:4">
      <c r="A59" s="13">
        <v>100</v>
      </c>
      <c r="B59" s="13">
        <f t="shared" si="4"/>
        <v>1075.4501033823999</v>
      </c>
      <c r="C59" s="13">
        <f t="shared" si="5"/>
        <v>1.0754501033824</v>
      </c>
      <c r="D59" s="13">
        <f t="shared" si="6"/>
        <v>107.54501033823998</v>
      </c>
    </row>
    <row r="60" spans="1:4">
      <c r="A60" s="13">
        <v>128</v>
      </c>
      <c r="B60" s="13">
        <f t="shared" si="4"/>
        <v>1098.0799603468872</v>
      </c>
      <c r="C60" s="13">
        <f t="shared" si="5"/>
        <v>1.0980799603468872</v>
      </c>
      <c r="D60" s="13">
        <f t="shared" si="6"/>
        <v>140.55423492440156</v>
      </c>
    </row>
    <row r="61" spans="1:4">
      <c r="A61" s="13">
        <v>200</v>
      </c>
      <c r="B61" s="13">
        <f t="shared" si="4"/>
        <v>1158.760402391164</v>
      </c>
      <c r="C61" s="13">
        <f t="shared" si="5"/>
        <v>1.158760402391164</v>
      </c>
      <c r="D61" s="13">
        <f t="shared" si="6"/>
        <v>231.75208047823278</v>
      </c>
    </row>
    <row r="62" spans="1:4">
      <c r="A62" s="13">
        <v>256</v>
      </c>
      <c r="B62" s="13">
        <f t="shared" si="4"/>
        <v>1208.5771558623999</v>
      </c>
      <c r="C62" s="13">
        <f t="shared" si="5"/>
        <v>1.2085771558623999</v>
      </c>
      <c r="D62" s="13">
        <f t="shared" si="6"/>
        <v>309.39575190077437</v>
      </c>
    </row>
    <row r="63" spans="1:4">
      <c r="B63" s="1"/>
    </row>
    <row r="64" spans="1:4">
      <c r="B64" s="1"/>
    </row>
    <row r="65" spans="1:4">
      <c r="B65" s="1"/>
    </row>
    <row r="66" spans="1:4">
      <c r="A66" s="11" t="s">
        <v>61</v>
      </c>
      <c r="B66" s="11"/>
    </row>
    <row r="67" spans="1:4">
      <c r="A67" s="5" t="s">
        <v>20</v>
      </c>
    </row>
    <row r="68" spans="1:4">
      <c r="A68" t="s">
        <v>21</v>
      </c>
    </row>
    <row r="69" spans="1:4">
      <c r="A69" t="s">
        <v>22</v>
      </c>
    </row>
    <row r="70" spans="1:4">
      <c r="A70" t="s">
        <v>23</v>
      </c>
    </row>
    <row r="72" spans="1:4">
      <c r="A72" s="15" t="s">
        <v>45</v>
      </c>
      <c r="B72" s="15" t="s">
        <v>59</v>
      </c>
      <c r="C72" s="15" t="s">
        <v>59</v>
      </c>
      <c r="D72" s="15" t="s">
        <v>45</v>
      </c>
    </row>
    <row r="73" spans="1:4">
      <c r="A73" s="15" t="s">
        <v>47</v>
      </c>
      <c r="B73" s="15" t="s">
        <v>24</v>
      </c>
      <c r="C73" s="15" t="s">
        <v>0</v>
      </c>
      <c r="D73" s="15" t="s">
        <v>1</v>
      </c>
    </row>
    <row r="74" spans="1:4">
      <c r="A74" s="13">
        <v>1</v>
      </c>
      <c r="B74" s="26">
        <v>998.99731047988246</v>
      </c>
      <c r="C74" s="16">
        <f t="shared" ref="C74:C85" si="7">B74/1000</f>
        <v>0.99899731047988249</v>
      </c>
      <c r="D74" s="16">
        <f t="shared" ref="D74:D85" si="8">A74*B74/1000</f>
        <v>0.99899731047988249</v>
      </c>
    </row>
    <row r="75" spans="1:4">
      <c r="A75" s="13">
        <v>4</v>
      </c>
      <c r="B75" s="26">
        <v>1001.2767694198824</v>
      </c>
      <c r="C75" s="16">
        <f t="shared" si="7"/>
        <v>1.0012767694198823</v>
      </c>
      <c r="D75" s="16">
        <f t="shared" si="8"/>
        <v>4.0051070776795292</v>
      </c>
    </row>
    <row r="76" spans="1:4">
      <c r="A76" s="13">
        <v>10</v>
      </c>
      <c r="B76" s="26">
        <v>1005.8200097754094</v>
      </c>
      <c r="C76" s="16">
        <f t="shared" si="7"/>
        <v>1.0058200097754093</v>
      </c>
      <c r="D76" s="16">
        <f t="shared" si="8"/>
        <v>10.058200097754094</v>
      </c>
    </row>
    <row r="77" spans="1:4">
      <c r="A77" s="13">
        <v>16</v>
      </c>
      <c r="B77" s="26">
        <v>1010.3600380598824</v>
      </c>
      <c r="C77" s="16">
        <f t="shared" si="7"/>
        <v>1.0103600380598825</v>
      </c>
      <c r="D77" s="16">
        <f t="shared" si="8"/>
        <v>16.16576060895812</v>
      </c>
    </row>
    <row r="78" spans="1:4">
      <c r="A78" s="13">
        <v>20</v>
      </c>
      <c r="B78" s="26">
        <v>1013.389304184192</v>
      </c>
      <c r="C78" s="16">
        <f t="shared" si="7"/>
        <v>1.0133893041841922</v>
      </c>
      <c r="D78" s="16">
        <f t="shared" si="8"/>
        <v>20.267786083683841</v>
      </c>
    </row>
    <row r="79" spans="1:4">
      <c r="A79" s="13">
        <v>32</v>
      </c>
      <c r="B79" s="26">
        <v>1022.5036804132052</v>
      </c>
      <c r="C79" s="16">
        <f t="shared" si="7"/>
        <v>1.0225036804132053</v>
      </c>
      <c r="D79" s="16">
        <f t="shared" si="8"/>
        <v>32.720117773222569</v>
      </c>
    </row>
    <row r="80" spans="1:4">
      <c r="A80" s="13">
        <v>64</v>
      </c>
      <c r="B80" s="26">
        <v>1047.1122972598823</v>
      </c>
      <c r="C80" s="16">
        <f t="shared" si="7"/>
        <v>1.0471122972598823</v>
      </c>
      <c r="D80" s="16">
        <f t="shared" si="8"/>
        <v>67.015187024632468</v>
      </c>
    </row>
    <row r="81" spans="1:4">
      <c r="A81" s="13">
        <v>80</v>
      </c>
      <c r="B81" s="26">
        <v>1059.6224972943596</v>
      </c>
      <c r="C81" s="16">
        <f t="shared" si="7"/>
        <v>1.0596224972943595</v>
      </c>
      <c r="D81" s="16">
        <f t="shared" si="8"/>
        <v>84.769799783548777</v>
      </c>
    </row>
    <row r="82" spans="1:4">
      <c r="A82" s="13">
        <v>100</v>
      </c>
      <c r="B82" s="26">
        <v>1075.4777601398825</v>
      </c>
      <c r="C82" s="16">
        <f t="shared" si="7"/>
        <v>1.0754777601398826</v>
      </c>
      <c r="D82" s="16">
        <f t="shared" si="8"/>
        <v>107.54777601398825</v>
      </c>
    </row>
    <row r="83" spans="1:4">
      <c r="A83" s="13">
        <v>128</v>
      </c>
      <c r="B83" s="26">
        <v>1098.1078232864638</v>
      </c>
      <c r="C83" s="16">
        <f t="shared" si="7"/>
        <v>1.0981078232864638</v>
      </c>
      <c r="D83" s="16">
        <f t="shared" si="8"/>
        <v>140.55780138066737</v>
      </c>
    </row>
    <row r="84" spans="1:4">
      <c r="A84" s="13">
        <v>200</v>
      </c>
      <c r="B84" s="26">
        <v>1158.788945910549</v>
      </c>
      <c r="C84" s="16">
        <f t="shared" si="7"/>
        <v>1.1587889459105492</v>
      </c>
      <c r="D84" s="16">
        <f t="shared" si="8"/>
        <v>231.7577891821098</v>
      </c>
    </row>
    <row r="85" spans="1:4">
      <c r="A85" s="13">
        <v>256</v>
      </c>
      <c r="B85" s="26">
        <v>1208.6063567798824</v>
      </c>
      <c r="C85" s="16">
        <f t="shared" si="7"/>
        <v>1.2086063567798824</v>
      </c>
      <c r="D85" s="16">
        <f t="shared" si="8"/>
        <v>309.40322733564989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C56"/>
  <sheetViews>
    <sheetView workbookViewId="0">
      <selection activeCell="G13" sqref="G13"/>
    </sheetView>
  </sheetViews>
  <sheetFormatPr defaultRowHeight="15.75"/>
  <cols>
    <col min="1" max="1" width="12.625" customWidth="1"/>
    <col min="2" max="2" width="11" customWidth="1"/>
    <col min="3" max="3" width="12.875" customWidth="1"/>
  </cols>
  <sheetData>
    <row r="2" spans="1:3">
      <c r="A2" t="s">
        <v>73</v>
      </c>
    </row>
    <row r="3" spans="1:3">
      <c r="A3" s="18" t="s">
        <v>66</v>
      </c>
    </row>
    <row r="4" spans="1:3">
      <c r="A4" s="18" t="s">
        <v>69</v>
      </c>
    </row>
    <row r="5" spans="1:3">
      <c r="B5" s="15" t="s">
        <v>45</v>
      </c>
      <c r="C5" s="15" t="s">
        <v>59</v>
      </c>
    </row>
    <row r="6" spans="1:3">
      <c r="B6" s="15" t="s">
        <v>1</v>
      </c>
      <c r="C6" s="15" t="s">
        <v>0</v>
      </c>
    </row>
    <row r="7" spans="1:3">
      <c r="B7" s="23">
        <v>0</v>
      </c>
      <c r="C7" s="24">
        <v>0.99820629999999999</v>
      </c>
    </row>
    <row r="8" spans="1:3">
      <c r="B8" s="23">
        <v>1</v>
      </c>
      <c r="C8" s="24">
        <v>0.99890000000000001</v>
      </c>
    </row>
    <row r="9" spans="1:3">
      <c r="B9" s="23">
        <v>2</v>
      </c>
      <c r="C9" s="24">
        <v>0.99970000000000003</v>
      </c>
    </row>
    <row r="10" spans="1:3">
      <c r="B10" s="23">
        <v>3</v>
      </c>
      <c r="C10" s="24">
        <v>1.0004</v>
      </c>
    </row>
    <row r="11" spans="1:3">
      <c r="B11" s="23">
        <v>4</v>
      </c>
      <c r="C11" s="24">
        <v>1.0011000000000001</v>
      </c>
    </row>
    <row r="12" spans="1:3">
      <c r="B12" s="23">
        <v>5</v>
      </c>
      <c r="C12" s="24">
        <v>1.0018</v>
      </c>
    </row>
    <row r="13" spans="1:3">
      <c r="B13" s="23">
        <v>6</v>
      </c>
      <c r="C13" s="24">
        <v>1.0024999999999999</v>
      </c>
    </row>
    <row r="14" spans="1:3">
      <c r="B14" s="23">
        <v>7</v>
      </c>
      <c r="C14" s="24">
        <v>1.0032000000000001</v>
      </c>
    </row>
    <row r="15" spans="1:3">
      <c r="B15" s="23">
        <v>8</v>
      </c>
      <c r="C15" s="24">
        <v>1.0039</v>
      </c>
    </row>
    <row r="16" spans="1:3">
      <c r="B16" s="23">
        <v>9</v>
      </c>
      <c r="C16" s="24">
        <v>1.0045999999999999</v>
      </c>
    </row>
    <row r="17" spans="1:3">
      <c r="B17" s="23">
        <v>10.1</v>
      </c>
      <c r="C17" s="24">
        <v>1.0053000000000001</v>
      </c>
    </row>
    <row r="18" spans="1:3">
      <c r="B18" s="23">
        <v>12.1</v>
      </c>
      <c r="C18" s="24">
        <v>1.0067999999999999</v>
      </c>
    </row>
    <row r="19" spans="1:3">
      <c r="B19" s="23">
        <v>14.1</v>
      </c>
      <c r="C19" s="24">
        <v>1.0082</v>
      </c>
    </row>
    <row r="20" spans="1:3">
      <c r="B20" s="23">
        <v>16.2</v>
      </c>
      <c r="C20" s="24">
        <v>1.0096000000000001</v>
      </c>
    </row>
    <row r="21" spans="1:3">
      <c r="B21" s="23">
        <v>18.2</v>
      </c>
      <c r="C21" s="24">
        <v>1.0109999999999999</v>
      </c>
    </row>
    <row r="22" spans="1:3">
      <c r="B22" s="23">
        <v>20.2</v>
      </c>
      <c r="C22" s="24">
        <v>1.0125</v>
      </c>
    </row>
    <row r="23" spans="1:3">
      <c r="B23" s="23">
        <v>24.4</v>
      </c>
      <c r="C23" s="24">
        <v>1.0153000000000001</v>
      </c>
    </row>
    <row r="24" spans="1:3">
      <c r="B24" s="23">
        <v>28.5</v>
      </c>
      <c r="C24" s="24">
        <v>1.0182</v>
      </c>
    </row>
    <row r="25" spans="1:3">
      <c r="B25" s="23">
        <v>30.6</v>
      </c>
      <c r="C25" s="24">
        <v>1.0196000000000001</v>
      </c>
    </row>
    <row r="26" spans="1:3">
      <c r="B26" s="23">
        <v>32.700000000000003</v>
      </c>
      <c r="C26" s="24">
        <v>1.0210999999999999</v>
      </c>
    </row>
    <row r="29" spans="1:3">
      <c r="A29" t="s">
        <v>74</v>
      </c>
    </row>
    <row r="30" spans="1:3">
      <c r="A30" s="18" t="s">
        <v>70</v>
      </c>
    </row>
    <row r="31" spans="1:3">
      <c r="A31" s="17" t="s">
        <v>71</v>
      </c>
    </row>
    <row r="32" spans="1:3">
      <c r="A32" s="15" t="s">
        <v>45</v>
      </c>
      <c r="B32" s="15" t="s">
        <v>45</v>
      </c>
      <c r="C32" s="15" t="s">
        <v>59</v>
      </c>
    </row>
    <row r="33" spans="1:3">
      <c r="A33" s="15" t="s">
        <v>75</v>
      </c>
      <c r="B33" s="15" t="s">
        <v>1</v>
      </c>
      <c r="C33" s="15" t="s">
        <v>0</v>
      </c>
    </row>
    <row r="34" spans="1:3">
      <c r="A34" s="22">
        <v>0.1</v>
      </c>
      <c r="B34" s="25">
        <v>5.8239069892807507</v>
      </c>
      <c r="C34" s="22">
        <v>1.0023856779134339</v>
      </c>
    </row>
    <row r="35" spans="1:3">
      <c r="A35" s="22">
        <v>0.25</v>
      </c>
      <c r="B35" s="25">
        <v>14.522130219990506</v>
      </c>
      <c r="C35" s="22">
        <v>1.0085077715608877</v>
      </c>
    </row>
    <row r="36" spans="1:3">
      <c r="A36" s="22">
        <v>0.5</v>
      </c>
      <c r="B36" s="25">
        <v>28.915743908557047</v>
      </c>
      <c r="C36" s="22">
        <v>1.0185031466654717</v>
      </c>
    </row>
    <row r="37" spans="1:3">
      <c r="A37" s="22">
        <v>0.75</v>
      </c>
      <c r="B37" s="25">
        <v>43.176740486694293</v>
      </c>
      <c r="C37" s="22">
        <v>1.028272348214148</v>
      </c>
    </row>
    <row r="38" spans="1:3">
      <c r="A38" s="22">
        <v>1</v>
      </c>
      <c r="B38" s="25">
        <v>57.302347198931358</v>
      </c>
      <c r="C38" s="22">
        <v>1.0378353245933762</v>
      </c>
    </row>
    <row r="39" spans="1:3">
      <c r="A39" s="22">
        <v>2</v>
      </c>
      <c r="B39" s="25">
        <v>112.41556815521912</v>
      </c>
      <c r="C39" s="22">
        <v>1.0742188549041851</v>
      </c>
    </row>
    <row r="40" spans="1:3">
      <c r="A40" s="22">
        <v>3</v>
      </c>
      <c r="B40" s="25">
        <v>165.27107321101136</v>
      </c>
      <c r="C40" s="22">
        <v>1.1079534437962917</v>
      </c>
    </row>
    <row r="41" spans="1:3">
      <c r="A41" s="22">
        <v>4</v>
      </c>
      <c r="B41" s="25">
        <v>215.88457823850413</v>
      </c>
      <c r="C41" s="22">
        <v>1.1394154570822077</v>
      </c>
    </row>
    <row r="42" spans="1:3">
      <c r="A42" s="22">
        <v>5</v>
      </c>
      <c r="B42" s="25">
        <v>264.32984326652041</v>
      </c>
      <c r="C42" s="22">
        <v>1.1689494300787053</v>
      </c>
    </row>
    <row r="44" spans="1:3">
      <c r="A44" s="11" t="s">
        <v>62</v>
      </c>
      <c r="B44" s="11"/>
    </row>
    <row r="45" spans="1:3">
      <c r="A45" t="s">
        <v>50</v>
      </c>
    </row>
    <row r="46" spans="1:3">
      <c r="A46" t="s">
        <v>7</v>
      </c>
    </row>
    <row r="47" spans="1:3">
      <c r="A47" s="13" t="s">
        <v>45</v>
      </c>
      <c r="B47" s="13" t="s">
        <v>59</v>
      </c>
    </row>
    <row r="48" spans="1:3">
      <c r="A48" s="13" t="s">
        <v>1</v>
      </c>
      <c r="B48" s="13" t="s">
        <v>51</v>
      </c>
    </row>
    <row r="49" spans="1:2">
      <c r="A49" s="13">
        <v>5</v>
      </c>
      <c r="B49" s="13">
        <v>1.002008</v>
      </c>
    </row>
    <row r="50" spans="1:2">
      <c r="A50" s="13">
        <v>10</v>
      </c>
      <c r="B50" s="13">
        <v>1.0057929999999999</v>
      </c>
    </row>
    <row r="51" spans="1:2">
      <c r="A51" s="13">
        <v>15</v>
      </c>
      <c r="B51" s="13">
        <v>1.009576</v>
      </c>
    </row>
    <row r="52" spans="1:2">
      <c r="A52" s="13">
        <v>20</v>
      </c>
      <c r="B52" s="13">
        <v>1.0133620000000001</v>
      </c>
    </row>
    <row r="53" spans="1:2">
      <c r="A53" s="13">
        <v>25</v>
      </c>
      <c r="B53" s="13">
        <v>1.0171539999999999</v>
      </c>
    </row>
    <row r="54" spans="1:2">
      <c r="A54" s="13">
        <v>30</v>
      </c>
      <c r="B54" s="13">
        <v>1.0209539999999999</v>
      </c>
    </row>
    <row r="55" spans="1:2">
      <c r="A55" s="13">
        <v>35</v>
      </c>
      <c r="B55" s="13">
        <v>1.0247630000000001</v>
      </c>
    </row>
    <row r="56" spans="1:2">
      <c r="A56" s="13">
        <v>40</v>
      </c>
      <c r="B56" s="13">
        <v>1.028583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5"/>
  <sheetViews>
    <sheetView topLeftCell="E10" workbookViewId="0">
      <selection activeCell="M1" sqref="M1:T1"/>
    </sheetView>
  </sheetViews>
  <sheetFormatPr defaultColWidth="8" defaultRowHeight="12.75"/>
  <cols>
    <col min="1" max="1" width="18.75" style="17" customWidth="1"/>
    <col min="2" max="3" width="8.375" style="17" customWidth="1"/>
    <col min="4" max="8" width="8" style="17"/>
    <col min="9" max="9" width="10.125" style="17" bestFit="1" customWidth="1"/>
    <col min="10" max="10" width="8" style="17"/>
    <col min="11" max="11" width="10.125" style="17" bestFit="1" customWidth="1"/>
    <col min="12" max="16384" width="8" style="17"/>
  </cols>
  <sheetData>
    <row r="1" spans="1:15">
      <c r="A1" s="28" t="s">
        <v>78</v>
      </c>
      <c r="D1" s="53"/>
      <c r="F1" s="29"/>
      <c r="G1" s="30" t="s">
        <v>79</v>
      </c>
      <c r="H1" s="31">
        <v>1.9999999999999999E-6</v>
      </c>
      <c r="J1" s="32" t="s">
        <v>80</v>
      </c>
      <c r="K1" s="17">
        <v>-2.2000000000000001E-7</v>
      </c>
      <c r="M1" s="17" t="s">
        <v>112</v>
      </c>
    </row>
    <row r="2" spans="1:15" ht="15.75">
      <c r="A2" s="18"/>
      <c r="D2" s="54"/>
      <c r="F2" s="29"/>
      <c r="G2" s="29" t="s">
        <v>100</v>
      </c>
      <c r="H2" s="29">
        <v>-2.8E-3</v>
      </c>
      <c r="J2" s="17" t="s">
        <v>100</v>
      </c>
      <c r="K2" s="17">
        <v>7.0220000000000005E-4</v>
      </c>
      <c r="O2"/>
    </row>
    <row r="3" spans="1:15">
      <c r="A3" s="18"/>
      <c r="D3" s="54"/>
      <c r="F3" s="29"/>
      <c r="G3" s="29"/>
      <c r="H3" s="29">
        <v>3.4</v>
      </c>
      <c r="K3" s="17">
        <v>0.99820600000000004</v>
      </c>
    </row>
    <row r="4" spans="1:15">
      <c r="A4" s="18"/>
      <c r="C4" s="33" t="s">
        <v>81</v>
      </c>
      <c r="D4" s="17">
        <v>3.35</v>
      </c>
      <c r="E4" s="18" t="s">
        <v>68</v>
      </c>
      <c r="F4" s="64" t="s">
        <v>82</v>
      </c>
      <c r="G4" s="64"/>
      <c r="H4" s="64"/>
      <c r="I4" s="64"/>
      <c r="J4" s="64"/>
      <c r="K4" s="65" t="s">
        <v>83</v>
      </c>
      <c r="L4" s="65"/>
    </row>
    <row r="5" spans="1:15">
      <c r="C5" s="34" t="s">
        <v>84</v>
      </c>
      <c r="D5" s="34"/>
      <c r="E5" s="34"/>
      <c r="F5" s="66" t="s">
        <v>85</v>
      </c>
      <c r="G5" s="66"/>
      <c r="H5" s="66"/>
      <c r="I5" s="66" t="s">
        <v>86</v>
      </c>
      <c r="J5" s="66"/>
      <c r="K5" s="67" t="s">
        <v>84</v>
      </c>
      <c r="L5" s="67"/>
    </row>
    <row r="6" spans="1:15">
      <c r="A6" s="17" t="s">
        <v>63</v>
      </c>
      <c r="B6" s="18" t="s">
        <v>64</v>
      </c>
      <c r="C6" s="19" t="s">
        <v>65</v>
      </c>
      <c r="D6" s="19" t="s">
        <v>87</v>
      </c>
      <c r="E6" s="19" t="s">
        <v>88</v>
      </c>
      <c r="F6" s="19" t="s">
        <v>89</v>
      </c>
      <c r="G6" s="19" t="s">
        <v>90</v>
      </c>
      <c r="H6" s="19" t="s">
        <v>91</v>
      </c>
      <c r="I6" s="19" t="s">
        <v>87</v>
      </c>
      <c r="J6" s="19" t="s">
        <v>92</v>
      </c>
      <c r="K6" s="19" t="s">
        <v>87</v>
      </c>
      <c r="L6" s="19" t="s">
        <v>92</v>
      </c>
    </row>
    <row r="7" spans="1:15">
      <c r="A7" s="18" t="s">
        <v>66</v>
      </c>
      <c r="B7" s="18" t="s">
        <v>67</v>
      </c>
      <c r="C7" s="19" t="s">
        <v>68</v>
      </c>
      <c r="D7" s="19" t="s">
        <v>68</v>
      </c>
      <c r="E7" s="19" t="s">
        <v>68</v>
      </c>
      <c r="F7" s="19" t="s">
        <v>68</v>
      </c>
      <c r="G7" s="19" t="s">
        <v>68</v>
      </c>
      <c r="H7" s="19" t="s">
        <v>68</v>
      </c>
      <c r="I7" s="19" t="s">
        <v>68</v>
      </c>
      <c r="J7" s="19" t="s">
        <v>68</v>
      </c>
      <c r="K7" s="19" t="s">
        <v>68</v>
      </c>
      <c r="L7" s="19" t="s">
        <v>68</v>
      </c>
    </row>
    <row r="8" spans="1:15">
      <c r="A8" s="18" t="s">
        <v>69</v>
      </c>
      <c r="B8" s="17">
        <v>0</v>
      </c>
      <c r="C8" s="20">
        <v>0.99820629999999999</v>
      </c>
      <c r="D8" s="35">
        <f t="shared" ref="D8:D27" si="0">$C$8+(1-$C$8/$D$4)*B8/1000</f>
        <v>0.99820629999999999</v>
      </c>
      <c r="E8" s="20">
        <f>C8-D8</f>
        <v>0</v>
      </c>
      <c r="F8" s="36">
        <v>3.35</v>
      </c>
      <c r="G8" s="35">
        <f>$C$8+(1-$C$8/F8)*B8/1000</f>
        <v>0.99820629999999999</v>
      </c>
      <c r="H8" s="36">
        <f>B8*B8*$H$1+B8*$H$2+$H$3</f>
        <v>3.4</v>
      </c>
      <c r="I8" s="35">
        <f t="shared" ref="I8:I27" si="1">$C$8+(1-$C$8/H8)*B8/1000</f>
        <v>0.99820629999999999</v>
      </c>
      <c r="J8" s="20">
        <f t="shared" ref="J8:J27" si="2">I8-C8</f>
        <v>0</v>
      </c>
      <c r="K8" s="17">
        <f t="shared" ref="K8:K27" si="3">B8*B8*$K$1+B8*$K$2+$K$3</f>
        <v>0.99820600000000004</v>
      </c>
      <c r="L8" s="20">
        <f t="shared" ref="L8:L27" si="4">K8-C8</f>
        <v>-2.9999999995311555E-7</v>
      </c>
    </row>
    <row r="9" spans="1:15">
      <c r="B9" s="17">
        <v>1</v>
      </c>
      <c r="C9" s="20">
        <v>0.99890000000000001</v>
      </c>
      <c r="D9" s="35">
        <f t="shared" si="0"/>
        <v>0.99890832797014928</v>
      </c>
      <c r="E9" s="20">
        <f t="shared" ref="E9:E27" si="5">C9-D9</f>
        <v>-8.3279701492688929E-6</v>
      </c>
      <c r="F9" s="36">
        <v>3.35</v>
      </c>
      <c r="G9" s="35">
        <f t="shared" ref="G9:G38" si="6">$C$8+(1-$C$8/F9)*B9/1000</f>
        <v>0.99890832797014928</v>
      </c>
      <c r="H9" s="36">
        <f t="shared" ref="H9:H27" si="7">B9*B9*$H$1+B9*$H$2+$H$3</f>
        <v>3.3972020000000001</v>
      </c>
      <c r="I9" s="35">
        <f t="shared" si="1"/>
        <v>0.99891246810539969</v>
      </c>
      <c r="J9" s="20">
        <f t="shared" si="2"/>
        <v>1.2468105399676688E-5</v>
      </c>
      <c r="K9" s="17">
        <f t="shared" si="3"/>
        <v>0.99890798000000003</v>
      </c>
      <c r="L9" s="20">
        <f t="shared" si="4"/>
        <v>7.9800000000185278E-6</v>
      </c>
    </row>
    <row r="10" spans="1:15">
      <c r="B10" s="17">
        <v>2</v>
      </c>
      <c r="C10" s="20">
        <v>0.99970000000000003</v>
      </c>
      <c r="D10" s="35">
        <f t="shared" si="0"/>
        <v>0.99961035594029846</v>
      </c>
      <c r="E10" s="20">
        <f t="shared" si="5"/>
        <v>8.964405970157685E-5</v>
      </c>
      <c r="F10" s="36">
        <v>3.35</v>
      </c>
      <c r="G10" s="35">
        <f t="shared" si="6"/>
        <v>0.99961035594029846</v>
      </c>
      <c r="H10" s="36">
        <f t="shared" si="7"/>
        <v>3.3944079999999999</v>
      </c>
      <c r="I10" s="35">
        <f t="shared" si="1"/>
        <v>0.99961815249386632</v>
      </c>
      <c r="J10" s="20">
        <f t="shared" si="2"/>
        <v>-8.1847506133714276E-5</v>
      </c>
      <c r="K10" s="17">
        <f t="shared" si="3"/>
        <v>0.99960952000000003</v>
      </c>
      <c r="L10" s="20">
        <f t="shared" si="4"/>
        <v>-9.0480000000003891E-5</v>
      </c>
    </row>
    <row r="11" spans="1:15">
      <c r="B11" s="17">
        <v>3</v>
      </c>
      <c r="C11" s="20">
        <v>1.0004</v>
      </c>
      <c r="D11" s="35">
        <f t="shared" si="0"/>
        <v>1.0003123839104477</v>
      </c>
      <c r="E11" s="20">
        <f t="shared" si="5"/>
        <v>8.7616089552211562E-5</v>
      </c>
      <c r="F11" s="36">
        <v>3.35</v>
      </c>
      <c r="G11" s="35">
        <f t="shared" si="6"/>
        <v>1.0003123839104477</v>
      </c>
      <c r="H11" s="36">
        <f t="shared" si="7"/>
        <v>3.3916179999999998</v>
      </c>
      <c r="I11" s="35">
        <f t="shared" si="1"/>
        <v>1.0003233530112765</v>
      </c>
      <c r="J11" s="20">
        <f t="shared" si="2"/>
        <v>-7.6646988723449994E-5</v>
      </c>
      <c r="K11" s="17">
        <f t="shared" si="3"/>
        <v>1.00031062</v>
      </c>
      <c r="L11" s="20">
        <f t="shared" si="4"/>
        <v>-8.9379999999916748E-5</v>
      </c>
    </row>
    <row r="12" spans="1:15">
      <c r="B12" s="17">
        <v>4</v>
      </c>
      <c r="C12" s="20">
        <v>1.0011000000000001</v>
      </c>
      <c r="D12" s="35">
        <f t="shared" si="0"/>
        <v>1.001014411880597</v>
      </c>
      <c r="E12" s="20">
        <f t="shared" si="5"/>
        <v>8.5588119403068319E-5</v>
      </c>
      <c r="F12" s="36">
        <v>3.35</v>
      </c>
      <c r="G12" s="35">
        <f t="shared" si="6"/>
        <v>1.001014411880597</v>
      </c>
      <c r="H12" s="36">
        <f t="shared" si="7"/>
        <v>3.3888319999999998</v>
      </c>
      <c r="I12" s="35">
        <f t="shared" si="1"/>
        <v>1.0010280695064258</v>
      </c>
      <c r="J12" s="20">
        <f t="shared" si="2"/>
        <v>-7.1930493574345888E-5</v>
      </c>
      <c r="K12" s="17">
        <f t="shared" si="3"/>
        <v>1.0010112799999999</v>
      </c>
      <c r="L12" s="20">
        <f t="shared" si="4"/>
        <v>-8.8720000000153121E-5</v>
      </c>
    </row>
    <row r="13" spans="1:15">
      <c r="B13" s="17">
        <v>5</v>
      </c>
      <c r="C13" s="20">
        <v>1.0018</v>
      </c>
      <c r="D13" s="35">
        <f t="shared" si="0"/>
        <v>1.0017164398507463</v>
      </c>
      <c r="E13" s="20">
        <f t="shared" si="5"/>
        <v>8.3560149253703031E-5</v>
      </c>
      <c r="F13" s="36">
        <v>3.35</v>
      </c>
      <c r="G13" s="35">
        <f t="shared" si="6"/>
        <v>1.0017164398507463</v>
      </c>
      <c r="H13" s="36">
        <f t="shared" si="7"/>
        <v>3.38605</v>
      </c>
      <c r="I13" s="35">
        <f t="shared" si="1"/>
        <v>1.001732301831042</v>
      </c>
      <c r="J13" s="20">
        <f t="shared" si="2"/>
        <v>-6.7698168958019167E-5</v>
      </c>
      <c r="K13" s="17">
        <f t="shared" si="3"/>
        <v>1.0017115000000001</v>
      </c>
      <c r="L13" s="20">
        <f t="shared" si="4"/>
        <v>-8.8499999999935852E-5</v>
      </c>
    </row>
    <row r="14" spans="1:15">
      <c r="B14" s="17">
        <v>6</v>
      </c>
      <c r="C14" s="20">
        <v>1.0024999999999999</v>
      </c>
      <c r="D14" s="35">
        <f t="shared" si="0"/>
        <v>1.0024184678208956</v>
      </c>
      <c r="E14" s="20">
        <f t="shared" si="5"/>
        <v>8.1532179104337743E-5</v>
      </c>
      <c r="F14" s="36">
        <v>3.35</v>
      </c>
      <c r="G14" s="35">
        <f t="shared" si="6"/>
        <v>1.0024184678208956</v>
      </c>
      <c r="H14" s="36">
        <f t="shared" si="7"/>
        <v>3.3832719999999998</v>
      </c>
      <c r="I14" s="35">
        <f t="shared" si="1"/>
        <v>1.0024360498397999</v>
      </c>
      <c r="J14" s="20">
        <f t="shared" si="2"/>
        <v>-6.3950160199999218E-5</v>
      </c>
      <c r="K14" s="17">
        <f t="shared" si="3"/>
        <v>1.00241128</v>
      </c>
      <c r="L14" s="20">
        <f t="shared" si="4"/>
        <v>-8.8719999999931076E-5</v>
      </c>
    </row>
    <row r="15" spans="1:15">
      <c r="B15" s="17">
        <v>7</v>
      </c>
      <c r="C15" s="20">
        <v>1.0032000000000001</v>
      </c>
      <c r="D15" s="35">
        <f t="shared" si="0"/>
        <v>1.0031204957910447</v>
      </c>
      <c r="E15" s="20">
        <f t="shared" si="5"/>
        <v>7.9504208955416544E-5</v>
      </c>
      <c r="F15" s="36">
        <v>3.35</v>
      </c>
      <c r="G15" s="35">
        <f t="shared" si="6"/>
        <v>1.0031204957910447</v>
      </c>
      <c r="H15" s="36">
        <f t="shared" si="7"/>
        <v>3.3804979999999998</v>
      </c>
      <c r="I15" s="35">
        <f t="shared" si="1"/>
        <v>1.0031393133903348</v>
      </c>
      <c r="J15" s="20">
        <f t="shared" si="2"/>
        <v>-6.0686609665294711E-5</v>
      </c>
      <c r="K15" s="17">
        <f t="shared" si="3"/>
        <v>1.00311062</v>
      </c>
      <c r="L15" s="20">
        <f t="shared" si="4"/>
        <v>-8.9380000000138793E-5</v>
      </c>
    </row>
    <row r="16" spans="1:15">
      <c r="B16" s="17">
        <v>8</v>
      </c>
      <c r="C16" s="20">
        <v>1.0039</v>
      </c>
      <c r="D16" s="35">
        <f t="shared" si="0"/>
        <v>1.003822523761194</v>
      </c>
      <c r="E16" s="20">
        <f t="shared" si="5"/>
        <v>7.7476238806051256E-5</v>
      </c>
      <c r="F16" s="36">
        <v>3.35</v>
      </c>
      <c r="G16" s="35">
        <f t="shared" si="6"/>
        <v>1.003822523761194</v>
      </c>
      <c r="H16" s="36">
        <f t="shared" si="7"/>
        <v>3.3777279999999998</v>
      </c>
      <c r="I16" s="35">
        <f t="shared" si="1"/>
        <v>1.0038420923432556</v>
      </c>
      <c r="J16" s="20">
        <f t="shared" si="2"/>
        <v>-5.790765674440479E-5</v>
      </c>
      <c r="K16" s="17">
        <f t="shared" si="3"/>
        <v>1.0038095200000001</v>
      </c>
      <c r="L16" s="20">
        <f t="shared" si="4"/>
        <v>-9.0479999999892868E-5</v>
      </c>
    </row>
    <row r="17" spans="1:12">
      <c r="B17" s="17">
        <v>9</v>
      </c>
      <c r="C17" s="20">
        <v>1.0045999999999999</v>
      </c>
      <c r="D17" s="35">
        <f t="shared" si="0"/>
        <v>1.0045245517313433</v>
      </c>
      <c r="E17" s="20">
        <f t="shared" si="5"/>
        <v>7.5448268656685968E-5</v>
      </c>
      <c r="F17" s="36">
        <v>3.35</v>
      </c>
      <c r="G17" s="35">
        <f t="shared" si="6"/>
        <v>1.0045245517313433</v>
      </c>
      <c r="H17" s="36">
        <f t="shared" si="7"/>
        <v>3.374962</v>
      </c>
      <c r="I17" s="35">
        <f t="shared" si="1"/>
        <v>1.0045443865621597</v>
      </c>
      <c r="J17" s="20">
        <f t="shared" si="2"/>
        <v>-5.5613437840218438E-5</v>
      </c>
      <c r="K17" s="17">
        <f t="shared" si="3"/>
        <v>1.0045079800000001</v>
      </c>
      <c r="L17" s="20">
        <f t="shared" si="4"/>
        <v>-9.2019999999859436E-5</v>
      </c>
    </row>
    <row r="18" spans="1:12">
      <c r="B18" s="17">
        <v>10.1</v>
      </c>
      <c r="C18" s="20">
        <v>1.0053000000000001</v>
      </c>
      <c r="D18" s="35">
        <f t="shared" si="0"/>
        <v>1.0052967824985075</v>
      </c>
      <c r="E18" s="20">
        <f t="shared" si="5"/>
        <v>3.2175014925694967E-6</v>
      </c>
      <c r="F18" s="36">
        <v>3.35</v>
      </c>
      <c r="G18" s="35">
        <f t="shared" si="6"/>
        <v>1.0052967824985075</v>
      </c>
      <c r="H18" s="36">
        <f t="shared" si="7"/>
        <v>3.3719240199999998</v>
      </c>
      <c r="I18" s="35">
        <f t="shared" si="1"/>
        <v>1.0053163501760416</v>
      </c>
      <c r="J18" s="20">
        <f t="shared" si="2"/>
        <v>1.6350176041513009E-5</v>
      </c>
      <c r="K18" s="17">
        <f t="shared" si="3"/>
        <v>1.0052757778000001</v>
      </c>
      <c r="L18" s="20">
        <f t="shared" si="4"/>
        <v>-2.422219999997921E-5</v>
      </c>
    </row>
    <row r="19" spans="1:12">
      <c r="B19" s="17">
        <v>12.1</v>
      </c>
      <c r="C19" s="20">
        <v>1.0067999999999999</v>
      </c>
      <c r="D19" s="35">
        <f t="shared" si="0"/>
        <v>1.0067008384388059</v>
      </c>
      <c r="E19" s="20">
        <f t="shared" si="5"/>
        <v>9.9161561194049952E-5</v>
      </c>
      <c r="F19" s="36">
        <v>3.35</v>
      </c>
      <c r="G19" s="35">
        <f t="shared" si="6"/>
        <v>1.0067008384388059</v>
      </c>
      <c r="H19" s="36">
        <f t="shared" si="7"/>
        <v>3.3664128199999999</v>
      </c>
      <c r="I19" s="35">
        <f t="shared" si="1"/>
        <v>1.0067184167320173</v>
      </c>
      <c r="J19" s="20">
        <f t="shared" si="2"/>
        <v>-8.1583267982576757E-5</v>
      </c>
      <c r="K19" s="17">
        <f t="shared" si="3"/>
        <v>1.0066704098000001</v>
      </c>
      <c r="L19" s="20">
        <f t="shared" si="4"/>
        <v>-1.2959019999980725E-4</v>
      </c>
    </row>
    <row r="20" spans="1:12">
      <c r="B20" s="17">
        <v>14.1</v>
      </c>
      <c r="C20" s="20">
        <v>1.0082</v>
      </c>
      <c r="D20" s="35">
        <f t="shared" si="0"/>
        <v>1.0081048943791044</v>
      </c>
      <c r="E20" s="20">
        <f t="shared" si="5"/>
        <v>9.5105620895541421E-5</v>
      </c>
      <c r="F20" s="36">
        <v>3.35</v>
      </c>
      <c r="G20" s="35">
        <f t="shared" si="6"/>
        <v>1.0081048943791044</v>
      </c>
      <c r="H20" s="36">
        <f t="shared" si="7"/>
        <v>3.3609176199999999</v>
      </c>
      <c r="I20" s="35">
        <f t="shared" si="1"/>
        <v>1.0081185422441286</v>
      </c>
      <c r="J20" s="20">
        <f t="shared" si="2"/>
        <v>-8.1457755871428006E-5</v>
      </c>
      <c r="K20" s="17">
        <f t="shared" si="3"/>
        <v>1.0080632817999999</v>
      </c>
      <c r="L20" s="20">
        <f t="shared" si="4"/>
        <v>-1.3671820000005219E-4</v>
      </c>
    </row>
    <row r="21" spans="1:12">
      <c r="B21" s="17">
        <v>16.2</v>
      </c>
      <c r="C21" s="20">
        <v>1.0096000000000001</v>
      </c>
      <c r="D21" s="35">
        <f t="shared" si="0"/>
        <v>1.009579153116418</v>
      </c>
      <c r="E21" s="20">
        <f t="shared" si="5"/>
        <v>2.0846883582059661E-5</v>
      </c>
      <c r="F21" s="36">
        <v>3.35</v>
      </c>
      <c r="G21" s="35">
        <f t="shared" si="6"/>
        <v>1.009579153116418</v>
      </c>
      <c r="H21" s="36">
        <f t="shared" si="7"/>
        <v>3.3551648799999998</v>
      </c>
      <c r="I21" s="35">
        <f t="shared" si="1"/>
        <v>1.0095865839388329</v>
      </c>
      <c r="J21" s="20">
        <f t="shared" si="2"/>
        <v>-1.3416061167115245E-5</v>
      </c>
      <c r="K21" s="17">
        <f t="shared" si="3"/>
        <v>1.0095239032000001</v>
      </c>
      <c r="L21" s="20">
        <f t="shared" si="4"/>
        <v>-7.6096799999980647E-5</v>
      </c>
    </row>
    <row r="22" spans="1:12">
      <c r="B22" s="17">
        <v>18.2</v>
      </c>
      <c r="C22" s="20">
        <v>1.0109999999999999</v>
      </c>
      <c r="D22" s="35">
        <f t="shared" si="0"/>
        <v>1.0109832090567163</v>
      </c>
      <c r="E22" s="20">
        <f t="shared" si="5"/>
        <v>1.679094328355113E-5</v>
      </c>
      <c r="F22" s="36">
        <v>3.35</v>
      </c>
      <c r="G22" s="35">
        <f t="shared" si="6"/>
        <v>1.0109832090567163</v>
      </c>
      <c r="H22" s="36">
        <f t="shared" si="7"/>
        <v>3.3497024799999999</v>
      </c>
      <c r="I22" s="35">
        <f t="shared" si="1"/>
        <v>1.0109827273787086</v>
      </c>
      <c r="J22" s="20">
        <f t="shared" si="2"/>
        <v>-1.7272621291253287E-5</v>
      </c>
      <c r="K22" s="17">
        <f t="shared" si="3"/>
        <v>1.0109131672</v>
      </c>
      <c r="L22" s="20">
        <f t="shared" si="4"/>
        <v>-8.6832799999880805E-5</v>
      </c>
    </row>
    <row r="23" spans="1:12">
      <c r="B23" s="17">
        <v>20.2</v>
      </c>
      <c r="C23" s="20">
        <v>1.0125</v>
      </c>
      <c r="D23" s="35">
        <f t="shared" si="0"/>
        <v>1.0123872649970149</v>
      </c>
      <c r="E23" s="20">
        <f t="shared" si="5"/>
        <v>1.1273500298503158E-4</v>
      </c>
      <c r="F23" s="36">
        <v>3.35</v>
      </c>
      <c r="G23" s="35">
        <f t="shared" si="6"/>
        <v>1.0123872649970149</v>
      </c>
      <c r="H23" s="36">
        <f t="shared" si="7"/>
        <v>3.3442560800000001</v>
      </c>
      <c r="I23" s="35">
        <f t="shared" si="1"/>
        <v>1.0123769270160985</v>
      </c>
      <c r="J23" s="20">
        <f t="shared" si="2"/>
        <v>-1.2307298390146215E-4</v>
      </c>
      <c r="K23" s="17">
        <f t="shared" si="3"/>
        <v>1.0123006712</v>
      </c>
      <c r="L23" s="20">
        <f t="shared" si="4"/>
        <v>-1.9932879999995379E-4</v>
      </c>
    </row>
    <row r="24" spans="1:12">
      <c r="B24" s="17">
        <v>24.4</v>
      </c>
      <c r="C24" s="20">
        <v>1.0153000000000001</v>
      </c>
      <c r="D24" s="35">
        <f t="shared" si="0"/>
        <v>1.0153357824716418</v>
      </c>
      <c r="E24" s="20">
        <f t="shared" si="5"/>
        <v>-3.578247164170989E-5</v>
      </c>
      <c r="F24" s="36">
        <v>3.35</v>
      </c>
      <c r="G24" s="35">
        <f t="shared" si="6"/>
        <v>1.0153357824716418</v>
      </c>
      <c r="H24" s="36">
        <f t="shared" si="7"/>
        <v>3.3328707199999998</v>
      </c>
      <c r="I24" s="35">
        <f t="shared" si="1"/>
        <v>1.0152984156665807</v>
      </c>
      <c r="J24" s="20">
        <f t="shared" si="2"/>
        <v>-1.5843334193466063E-6</v>
      </c>
      <c r="K24" s="17">
        <f t="shared" si="3"/>
        <v>1.0152087008000001</v>
      </c>
      <c r="L24" s="20">
        <f t="shared" si="4"/>
        <v>-9.1299199999950176E-5</v>
      </c>
    </row>
    <row r="25" spans="1:12">
      <c r="B25" s="17">
        <v>28.5</v>
      </c>
      <c r="C25" s="20">
        <v>1.0182</v>
      </c>
      <c r="D25" s="35">
        <f t="shared" si="0"/>
        <v>1.0182140971492537</v>
      </c>
      <c r="E25" s="20">
        <f t="shared" si="5"/>
        <v>-1.4097149253711194E-5</v>
      </c>
      <c r="F25" s="36">
        <v>3.35</v>
      </c>
      <c r="G25" s="35">
        <f t="shared" si="6"/>
        <v>1.0182140971492537</v>
      </c>
      <c r="H25" s="36">
        <f t="shared" si="7"/>
        <v>3.3218245</v>
      </c>
      <c r="I25" s="35">
        <f t="shared" si="1"/>
        <v>1.018142066835364</v>
      </c>
      <c r="J25" s="20">
        <f t="shared" si="2"/>
        <v>-5.7933164635981527E-5</v>
      </c>
      <c r="K25" s="17">
        <f t="shared" si="3"/>
        <v>1.018040005</v>
      </c>
      <c r="L25" s="20">
        <f t="shared" si="4"/>
        <v>-1.5999499999996836E-4</v>
      </c>
    </row>
    <row r="26" spans="1:12">
      <c r="B26" s="17">
        <v>30.6</v>
      </c>
      <c r="C26" s="20">
        <v>1.0196000000000001</v>
      </c>
      <c r="D26" s="35">
        <f t="shared" si="0"/>
        <v>1.0196883558865673</v>
      </c>
      <c r="E26" s="20">
        <f t="shared" si="5"/>
        <v>-8.8355886567192954E-5</v>
      </c>
      <c r="F26" s="36">
        <v>3.35</v>
      </c>
      <c r="G26" s="35">
        <f t="shared" si="6"/>
        <v>1.0196883558865673</v>
      </c>
      <c r="H26" s="36">
        <f t="shared" si="7"/>
        <v>3.3161927200000001</v>
      </c>
      <c r="I26" s="35">
        <f t="shared" si="1"/>
        <v>1.0195954020338529</v>
      </c>
      <c r="J26" s="20">
        <f t="shared" si="2"/>
        <v>-4.5979661471573507E-6</v>
      </c>
      <c r="K26" s="17">
        <f t="shared" si="3"/>
        <v>1.0194873207999999</v>
      </c>
      <c r="L26" s="20">
        <f t="shared" si="4"/>
        <v>-1.1267920000013198E-4</v>
      </c>
    </row>
    <row r="27" spans="1:12">
      <c r="A27" s="18" t="s">
        <v>70</v>
      </c>
      <c r="B27" s="17">
        <v>32.700000000000003</v>
      </c>
      <c r="C27" s="20">
        <v>1.0210999999999999</v>
      </c>
      <c r="D27" s="35">
        <f t="shared" si="0"/>
        <v>1.0211626146238806</v>
      </c>
      <c r="E27" s="20">
        <f t="shared" si="5"/>
        <v>-6.2614623880685727E-5</v>
      </c>
      <c r="F27" s="36">
        <v>3.35</v>
      </c>
      <c r="G27" s="35">
        <f t="shared" si="6"/>
        <v>1.0211626146238806</v>
      </c>
      <c r="H27" s="36">
        <f t="shared" si="7"/>
        <v>3.31057858</v>
      </c>
      <c r="I27" s="35">
        <f t="shared" si="1"/>
        <v>1.0210465896136662</v>
      </c>
      <c r="J27" s="20">
        <f t="shared" si="2"/>
        <v>-5.341038633366324E-5</v>
      </c>
      <c r="K27" s="17">
        <f t="shared" si="3"/>
        <v>1.0209326962</v>
      </c>
      <c r="L27" s="20">
        <f t="shared" si="4"/>
        <v>-1.6730379999985168E-4</v>
      </c>
    </row>
    <row r="28" spans="1:12">
      <c r="A28" s="17" t="s">
        <v>71</v>
      </c>
      <c r="E28" s="20"/>
      <c r="F28" s="36"/>
      <c r="G28" s="35"/>
      <c r="H28" s="36"/>
      <c r="I28" s="35"/>
      <c r="J28" s="20"/>
      <c r="L28" s="20"/>
    </row>
    <row r="29" spans="1:12">
      <c r="A29" s="17" t="s">
        <v>72</v>
      </c>
      <c r="E29" s="20"/>
      <c r="F29" s="36"/>
      <c r="G29" s="35"/>
      <c r="H29" s="36"/>
      <c r="I29" s="35"/>
      <c r="J29" s="20"/>
      <c r="L29" s="20"/>
    </row>
    <row r="30" spans="1:12">
      <c r="A30" s="17">
        <v>0.1</v>
      </c>
      <c r="B30" s="21">
        <v>5.8239069892807507</v>
      </c>
      <c r="C30" s="17">
        <v>1.0023856779134339</v>
      </c>
      <c r="D30" s="35">
        <f t="shared" ref="D30:D38" si="8">$C$8+(1-$C$8/$D$4)*B30/1000</f>
        <v>1.0022948456020229</v>
      </c>
      <c r="E30" s="20">
        <f t="shared" ref="E30:E38" si="9">C30-D30</f>
        <v>9.083231141104875E-5</v>
      </c>
      <c r="F30" s="36">
        <v>3.35</v>
      </c>
      <c r="G30" s="35">
        <f t="shared" si="6"/>
        <v>1.0022948456020229</v>
      </c>
      <c r="H30" s="36">
        <f t="shared" ref="H30:H38" si="10">B30*B30*$H$1+B30*$H$2+$H$3</f>
        <v>3.3837608962152532</v>
      </c>
      <c r="I30" s="35">
        <f t="shared" ref="I30:I38" si="11">$C$8+(1-$C$8/H30)*B30/1000</f>
        <v>1.0023121598737719</v>
      </c>
      <c r="J30" s="20">
        <f t="shared" ref="J30:J38" si="12">I30-C30</f>
        <v>-7.3518039662046064E-5</v>
      </c>
      <c r="K30" s="17">
        <f t="shared" ref="K30:K38" si="13">B30*B30*$K$1+B30*$K$2+$K$3</f>
        <v>1.0022880855514966</v>
      </c>
      <c r="L30" s="20">
        <f t="shared" ref="L30:L38" si="14">K30-C30</f>
        <v>-9.7592361937293148E-5</v>
      </c>
    </row>
    <row r="31" spans="1:12">
      <c r="A31" s="17">
        <v>0.25</v>
      </c>
      <c r="B31" s="21">
        <v>14.522130219990506</v>
      </c>
      <c r="C31" s="17">
        <v>1.0085077715608877</v>
      </c>
      <c r="D31" s="35">
        <f t="shared" si="8"/>
        <v>1.008401241600583</v>
      </c>
      <c r="E31" s="20">
        <f t="shared" si="9"/>
        <v>1.0652996030469097E-4</v>
      </c>
      <c r="F31" s="36">
        <v>3.35</v>
      </c>
      <c r="G31" s="35">
        <f t="shared" si="6"/>
        <v>1.008401241600583</v>
      </c>
      <c r="H31" s="36">
        <f t="shared" si="10"/>
        <v>3.3597598199162793</v>
      </c>
      <c r="I31" s="35">
        <f t="shared" si="11"/>
        <v>1.0084138117198573</v>
      </c>
      <c r="J31" s="20">
        <f t="shared" si="12"/>
        <v>-9.395984103033328E-5</v>
      </c>
      <c r="K31" s="17">
        <f t="shared" si="13"/>
        <v>1.0083570435419296</v>
      </c>
      <c r="L31" s="20">
        <f t="shared" si="14"/>
        <v>-1.5072801895810173E-4</v>
      </c>
    </row>
    <row r="32" spans="1:12">
      <c r="A32" s="17">
        <v>0.5</v>
      </c>
      <c r="B32" s="21">
        <v>28.915743908557047</v>
      </c>
      <c r="C32" s="17">
        <v>1.0185031466654717</v>
      </c>
      <c r="D32" s="35">
        <f t="shared" si="8"/>
        <v>1.0185059610014799</v>
      </c>
      <c r="E32" s="20">
        <f t="shared" si="9"/>
        <v>-2.8143360082388824E-6</v>
      </c>
      <c r="F32" s="36">
        <v>3.35</v>
      </c>
      <c r="G32" s="35">
        <f t="shared" si="6"/>
        <v>1.0185059610014799</v>
      </c>
      <c r="H32" s="36">
        <f t="shared" si="10"/>
        <v>3.3207081575476107</v>
      </c>
      <c r="I32" s="35">
        <f t="shared" si="11"/>
        <v>1.0184299588564263</v>
      </c>
      <c r="J32" s="20">
        <f t="shared" si="12"/>
        <v>-7.318780904541633E-5</v>
      </c>
      <c r="K32" s="17">
        <f t="shared" si="13"/>
        <v>1.0183266889185161</v>
      </c>
      <c r="L32" s="20">
        <f t="shared" si="14"/>
        <v>-1.7645774695562721E-4</v>
      </c>
    </row>
    <row r="33" spans="1:22">
      <c r="A33" s="17">
        <v>0.75</v>
      </c>
      <c r="B33" s="21">
        <v>43.176740486694293</v>
      </c>
      <c r="C33" s="17">
        <v>1.028272348214148</v>
      </c>
      <c r="D33" s="35">
        <f t="shared" si="8"/>
        <v>1.0285175794815351</v>
      </c>
      <c r="E33" s="20">
        <f t="shared" si="9"/>
        <v>-2.4523126738706935E-4</v>
      </c>
      <c r="F33" s="36">
        <v>3.2850000000000001</v>
      </c>
      <c r="G33" s="35">
        <f t="shared" si="6"/>
        <v>1.0282630117599718</v>
      </c>
      <c r="H33" s="36">
        <f t="shared" si="10"/>
        <v>3.2828335884753668</v>
      </c>
      <c r="I33" s="35">
        <f t="shared" si="11"/>
        <v>1.0282543535746964</v>
      </c>
      <c r="J33" s="20">
        <f t="shared" si="12"/>
        <v>-1.7994639451623939E-5</v>
      </c>
      <c r="K33" s="17">
        <f t="shared" si="13"/>
        <v>1.0281145763675645</v>
      </c>
      <c r="L33" s="20">
        <f t="shared" si="14"/>
        <v>-1.5777184658349874E-4</v>
      </c>
    </row>
    <row r="34" spans="1:22">
      <c r="A34" s="17">
        <v>1</v>
      </c>
      <c r="B34" s="21">
        <v>57.302347198931358</v>
      </c>
      <c r="C34" s="17">
        <v>1.0378353245933762</v>
      </c>
      <c r="D34" s="35">
        <f t="shared" si="8"/>
        <v>1.0384341504888535</v>
      </c>
      <c r="E34" s="20">
        <f t="shared" si="9"/>
        <v>-5.9882589547721743E-4</v>
      </c>
      <c r="F34" s="36">
        <v>3.2349999999999999</v>
      </c>
      <c r="G34" s="35">
        <f t="shared" si="6"/>
        <v>1.0378271745625294</v>
      </c>
      <c r="H34" s="36">
        <f t="shared" si="10"/>
        <v>3.2461205458320057</v>
      </c>
      <c r="I34" s="35">
        <f t="shared" si="11"/>
        <v>1.0378877476755897</v>
      </c>
      <c r="J34" s="20">
        <f t="shared" si="12"/>
        <v>5.2423082213426397E-5</v>
      </c>
      <c r="K34" s="17">
        <f t="shared" si="13"/>
        <v>1.0377213252242981</v>
      </c>
      <c r="L34" s="20">
        <f t="shared" si="14"/>
        <v>-1.139993690781882E-4</v>
      </c>
    </row>
    <row r="35" spans="1:22">
      <c r="A35" s="17">
        <v>2</v>
      </c>
      <c r="B35" s="21">
        <v>112.41556815521912</v>
      </c>
      <c r="C35" s="17">
        <v>1.0742188549041851</v>
      </c>
      <c r="D35" s="35">
        <f t="shared" si="8"/>
        <v>1.0771251731251836</v>
      </c>
      <c r="E35" s="20">
        <f t="shared" si="9"/>
        <v>-2.9063182209985161E-3</v>
      </c>
      <c r="F35" s="36">
        <v>3.0830000000000002</v>
      </c>
      <c r="G35" s="35">
        <f t="shared" si="6"/>
        <v>1.074224226782978</v>
      </c>
      <c r="H35" s="36">
        <f t="shared" si="10"/>
        <v>3.1105109290927078</v>
      </c>
      <c r="I35" s="35">
        <f t="shared" si="11"/>
        <v>1.0745461458997276</v>
      </c>
      <c r="J35" s="20">
        <f t="shared" si="12"/>
        <v>3.2729099554251739E-4</v>
      </c>
      <c r="K35" s="17">
        <f t="shared" si="13"/>
        <v>1.0743640147665896</v>
      </c>
      <c r="L35" s="20">
        <f t="shared" si="14"/>
        <v>1.4515986240448697E-4</v>
      </c>
    </row>
    <row r="36" spans="1:22">
      <c r="A36" s="17">
        <v>3</v>
      </c>
      <c r="B36" s="21">
        <v>165.27107321101136</v>
      </c>
      <c r="C36" s="17">
        <v>1.1079534437962917</v>
      </c>
      <c r="D36" s="35">
        <f t="shared" si="8"/>
        <v>1.1142312160507151</v>
      </c>
      <c r="E36" s="20">
        <f t="shared" si="9"/>
        <v>-6.277772254423386E-3</v>
      </c>
      <c r="F36" s="36">
        <v>2.9710000000000001</v>
      </c>
      <c r="G36" s="35">
        <f t="shared" si="6"/>
        <v>1.1079490573284827</v>
      </c>
      <c r="H36" s="36">
        <f t="shared" si="10"/>
        <v>2.991870050289807</v>
      </c>
      <c r="I36" s="35">
        <f t="shared" si="11"/>
        <v>1.1083363999354465</v>
      </c>
      <c r="J36" s="20">
        <f t="shared" si="12"/>
        <v>3.8295613915484417E-4</v>
      </c>
      <c r="K36" s="17">
        <f t="shared" si="13"/>
        <v>1.108250151527902</v>
      </c>
      <c r="L36" s="20">
        <f t="shared" si="14"/>
        <v>2.9670773161027952E-4</v>
      </c>
    </row>
    <row r="37" spans="1:22">
      <c r="A37" s="17">
        <v>4</v>
      </c>
      <c r="B37" s="21">
        <v>215.88457823850413</v>
      </c>
      <c r="C37" s="17">
        <v>1.1394154570822077</v>
      </c>
      <c r="D37" s="35">
        <f t="shared" si="8"/>
        <v>1.1497633122473048</v>
      </c>
      <c r="E37" s="20">
        <f t="shared" si="9"/>
        <v>-1.0347855165097064E-2</v>
      </c>
      <c r="F37" s="36">
        <v>2.8860000000000001</v>
      </c>
      <c r="G37" s="35">
        <f t="shared" si="6"/>
        <v>1.1394209731551648</v>
      </c>
      <c r="H37" s="36">
        <f t="shared" si="10"/>
        <v>2.8887354831746217</v>
      </c>
      <c r="I37" s="35">
        <f t="shared" si="11"/>
        <v>1.1394916816953531</v>
      </c>
      <c r="J37" s="20">
        <f t="shared" si="12"/>
        <v>7.6224613145381426E-5</v>
      </c>
      <c r="K37" s="17">
        <f t="shared" si="13"/>
        <v>1.1395467975924101</v>
      </c>
      <c r="L37" s="20">
        <f t="shared" si="14"/>
        <v>1.3134051020236015E-4</v>
      </c>
    </row>
    <row r="38" spans="1:22">
      <c r="A38" s="17">
        <v>5</v>
      </c>
      <c r="B38" s="21">
        <v>264.32984326652041</v>
      </c>
      <c r="C38" s="17">
        <v>1.1689494300787053</v>
      </c>
      <c r="D38" s="35">
        <f t="shared" si="8"/>
        <v>1.1837732433182657</v>
      </c>
      <c r="E38" s="20">
        <f t="shared" si="9"/>
        <v>-1.4823813239560391E-2</v>
      </c>
      <c r="F38" s="36">
        <v>2.819</v>
      </c>
      <c r="G38" s="35">
        <f t="shared" si="6"/>
        <v>1.168937095793426</v>
      </c>
      <c r="H38" s="36">
        <f t="shared" si="10"/>
        <v>2.7996169709363494</v>
      </c>
      <c r="I38" s="35">
        <f t="shared" si="11"/>
        <v>1.1682890667679073</v>
      </c>
      <c r="J38" s="20">
        <f t="shared" si="12"/>
        <v>-6.603633107979956E-4</v>
      </c>
      <c r="K38" s="17">
        <f t="shared" si="13"/>
        <v>1.1684469574126639</v>
      </c>
      <c r="L38" s="20">
        <f t="shared" si="14"/>
        <v>-5.0247266604142027E-4</v>
      </c>
    </row>
    <row r="39" spans="1:22">
      <c r="B39" s="21"/>
      <c r="D39" s="37"/>
      <c r="E39" s="38"/>
      <c r="F39" s="20"/>
      <c r="G39" s="20"/>
      <c r="H39" s="20"/>
      <c r="I39" s="35" t="s">
        <v>101</v>
      </c>
      <c r="J39" s="20">
        <f>MAX(J8:J38)</f>
        <v>3.8295613915484417E-4</v>
      </c>
      <c r="V39" s="17" t="s">
        <v>93</v>
      </c>
    </row>
    <row r="40" spans="1:22">
      <c r="B40" s="21"/>
      <c r="C40" s="18"/>
      <c r="D40" s="37"/>
      <c r="F40" s="20"/>
      <c r="G40" s="20"/>
      <c r="H40" s="20"/>
      <c r="I40" s="35" t="s">
        <v>102</v>
      </c>
      <c r="J40" s="20">
        <f>MIN(J8:J38)</f>
        <v>-6.603633107979956E-4</v>
      </c>
    </row>
    <row r="42" spans="1:22">
      <c r="A42" s="17" t="s">
        <v>94</v>
      </c>
    </row>
    <row r="43" spans="1:22">
      <c r="A43" s="17" t="s">
        <v>95</v>
      </c>
    </row>
    <row r="45" spans="1:22">
      <c r="A45" s="33" t="s">
        <v>96</v>
      </c>
      <c r="B45" s="17">
        <v>58.442500000000003</v>
      </c>
      <c r="C45" s="18" t="s">
        <v>60</v>
      </c>
    </row>
  </sheetData>
  <mergeCells count="5">
    <mergeCell ref="F4:J4"/>
    <mergeCell ref="K4:L4"/>
    <mergeCell ref="F5:H5"/>
    <mergeCell ref="I5:J5"/>
    <mergeCell ref="K5:L5"/>
  </mergeCells>
  <pageMargins left="0.7" right="0.7" top="0.75" bottom="0.75" header="0.3" footer="0.3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4"/>
  <sheetViews>
    <sheetView topLeftCell="G1" workbookViewId="0">
      <selection activeCell="L2" sqref="L2"/>
    </sheetView>
  </sheetViews>
  <sheetFormatPr defaultColWidth="8" defaultRowHeight="12.75"/>
  <cols>
    <col min="1" max="1" width="18.75" style="17" customWidth="1"/>
    <col min="2" max="4" width="8.375" style="17" customWidth="1"/>
    <col min="5" max="6" width="0" style="17" hidden="1" customWidth="1"/>
    <col min="7" max="7" width="8" style="17"/>
    <col min="8" max="8" width="10.625" style="17" customWidth="1"/>
    <col min="9" max="9" width="8" style="17"/>
    <col min="10" max="10" width="10.125" style="17" bestFit="1" customWidth="1"/>
    <col min="11" max="12" width="8" style="17"/>
    <col min="13" max="13" width="10.125" style="17" bestFit="1" customWidth="1"/>
    <col min="14" max="16384" width="8" style="17"/>
  </cols>
  <sheetData>
    <row r="1" spans="1:17">
      <c r="A1" s="28" t="s">
        <v>97</v>
      </c>
      <c r="G1" s="29"/>
      <c r="H1" s="30" t="s">
        <v>79</v>
      </c>
      <c r="I1" s="31">
        <v>1.06E-5</v>
      </c>
      <c r="K1" s="32"/>
      <c r="L1" s="32" t="s">
        <v>80</v>
      </c>
      <c r="M1" s="39">
        <v>-4.3436268162376704E-7</v>
      </c>
      <c r="P1" s="17" t="s">
        <v>112</v>
      </c>
    </row>
    <row r="2" spans="1:17" ht="15.75">
      <c r="A2" s="18"/>
      <c r="G2" s="29"/>
      <c r="H2" s="30" t="s">
        <v>111</v>
      </c>
      <c r="I2" s="29">
        <v>-7.4999999999999997E-3</v>
      </c>
      <c r="L2" s="32" t="s">
        <v>111</v>
      </c>
      <c r="M2" s="39">
        <v>7.6067154739562664E-4</v>
      </c>
      <c r="Q2"/>
    </row>
    <row r="3" spans="1:17">
      <c r="A3" s="18"/>
      <c r="G3" s="29"/>
      <c r="H3" s="29"/>
      <c r="I3" s="29">
        <v>4.17</v>
      </c>
      <c r="M3" s="39">
        <v>0.99817478999984011</v>
      </c>
    </row>
    <row r="4" spans="1:17">
      <c r="A4" s="18"/>
      <c r="C4" s="33" t="s">
        <v>81</v>
      </c>
      <c r="D4" s="33"/>
      <c r="E4" s="17">
        <v>3.35</v>
      </c>
      <c r="F4" s="18" t="s">
        <v>68</v>
      </c>
      <c r="G4" s="64" t="s">
        <v>82</v>
      </c>
      <c r="H4" s="64"/>
      <c r="I4" s="64"/>
      <c r="J4" s="64"/>
      <c r="K4" s="64"/>
      <c r="L4" s="40"/>
      <c r="M4" s="65" t="s">
        <v>83</v>
      </c>
      <c r="N4" s="65"/>
      <c r="O4" s="41"/>
    </row>
    <row r="5" spans="1:17">
      <c r="C5" s="34" t="s">
        <v>84</v>
      </c>
      <c r="D5" s="34"/>
      <c r="E5" s="34"/>
      <c r="F5" s="34"/>
      <c r="G5" s="66" t="s">
        <v>85</v>
      </c>
      <c r="H5" s="66"/>
      <c r="I5" s="66"/>
      <c r="J5" s="66" t="s">
        <v>86</v>
      </c>
      <c r="K5" s="66"/>
      <c r="L5" s="42"/>
      <c r="M5" s="67" t="s">
        <v>84</v>
      </c>
      <c r="N5" s="67"/>
      <c r="O5" s="43"/>
    </row>
    <row r="6" spans="1:17" ht="15">
      <c r="A6" s="46" t="s">
        <v>40</v>
      </c>
      <c r="B6" s="18" t="s">
        <v>64</v>
      </c>
      <c r="C6" s="19" t="s">
        <v>65</v>
      </c>
      <c r="D6" s="19" t="s">
        <v>65</v>
      </c>
      <c r="E6" s="19" t="s">
        <v>87</v>
      </c>
      <c r="F6" s="19" t="s">
        <v>88</v>
      </c>
      <c r="G6" s="19" t="s">
        <v>89</v>
      </c>
      <c r="H6" s="19" t="s">
        <v>90</v>
      </c>
      <c r="I6" s="19" t="s">
        <v>91</v>
      </c>
      <c r="J6" s="19" t="s">
        <v>87</v>
      </c>
      <c r="K6" s="19" t="s">
        <v>92</v>
      </c>
      <c r="L6" s="19" t="s">
        <v>98</v>
      </c>
      <c r="M6" s="19" t="s">
        <v>87</v>
      </c>
      <c r="N6" s="19" t="s">
        <v>92</v>
      </c>
      <c r="O6" s="19" t="s">
        <v>98</v>
      </c>
    </row>
    <row r="7" spans="1:17">
      <c r="A7" s="18" t="s">
        <v>104</v>
      </c>
      <c r="B7" s="18" t="s">
        <v>67</v>
      </c>
      <c r="C7" s="19" t="s">
        <v>68</v>
      </c>
      <c r="D7" s="19" t="s">
        <v>24</v>
      </c>
      <c r="E7" s="19" t="s">
        <v>68</v>
      </c>
      <c r="F7" s="19" t="s">
        <v>68</v>
      </c>
      <c r="G7" s="19" t="s">
        <v>68</v>
      </c>
      <c r="H7" s="19" t="s">
        <v>24</v>
      </c>
      <c r="I7" s="19" t="s">
        <v>68</v>
      </c>
      <c r="J7" s="19" t="s">
        <v>68</v>
      </c>
      <c r="K7" s="19" t="s">
        <v>68</v>
      </c>
      <c r="L7" s="19"/>
      <c r="M7" s="19" t="s">
        <v>68</v>
      </c>
      <c r="N7" s="19" t="s">
        <v>68</v>
      </c>
      <c r="O7" s="19"/>
    </row>
    <row r="8" spans="1:17">
      <c r="A8" s="18" t="s">
        <v>105</v>
      </c>
      <c r="B8" s="17">
        <v>0</v>
      </c>
      <c r="C8" s="20">
        <v>0.99820000000000009</v>
      </c>
      <c r="D8" s="36">
        <f>C8*1000</f>
        <v>998.2</v>
      </c>
      <c r="E8" s="35">
        <f t="shared" ref="E8" si="0">$C$8+(1-$C$8/$E$4)*B8/1000</f>
        <v>0.99820000000000009</v>
      </c>
      <c r="F8" s="20">
        <f t="shared" ref="F8" si="1">C8-E8</f>
        <v>0</v>
      </c>
      <c r="G8" s="36">
        <v>3</v>
      </c>
      <c r="H8" s="45">
        <f>($C$8+(1-$C$8/G8)*B8/1000)*1000</f>
        <v>998.2</v>
      </c>
      <c r="I8" s="36">
        <f>B8*B8*$I$1+B8*$I$2+$I$3</f>
        <v>4.17</v>
      </c>
      <c r="J8" s="35">
        <f t="shared" ref="J8:J28" si="2">$C$8+(1-$C$8/I8)*B8/1000</f>
        <v>0.99820000000000009</v>
      </c>
      <c r="K8" s="20">
        <f t="shared" ref="K8:K28" si="3">J8-C8</f>
        <v>0</v>
      </c>
      <c r="L8" s="20">
        <f>K8^2*1000</f>
        <v>0</v>
      </c>
      <c r="M8" s="17">
        <f>B8*B8*$M$1+B8*$M$2+$M$3</f>
        <v>0.99817478999984011</v>
      </c>
      <c r="N8" s="20">
        <f t="shared" ref="N8:N28" si="4">M8-C8</f>
        <v>-2.5210000159980872E-5</v>
      </c>
      <c r="O8" s="20">
        <f>N8^2*1000</f>
        <v>6.3554410806623566E-7</v>
      </c>
    </row>
    <row r="9" spans="1:17">
      <c r="B9" s="17">
        <v>1.9991504</v>
      </c>
      <c r="C9" s="20">
        <v>0.9995752</v>
      </c>
      <c r="D9" s="36">
        <f t="shared" ref="D9:D28" si="5">C9*1000</f>
        <v>999.5752</v>
      </c>
      <c r="E9" s="35">
        <f t="shared" ref="E9" si="6">$C$8+(1-$C$8/$E$4)*B9/1000</f>
        <v>0.99960346325693139</v>
      </c>
      <c r="F9" s="20">
        <f t="shared" ref="F9" si="7">C9-E9</f>
        <v>-2.8263256931393421E-5</v>
      </c>
      <c r="G9" s="36">
        <v>3.1966897016650178</v>
      </c>
      <c r="H9" s="45">
        <f t="shared" ref="H9" si="8">($C$8+(1-$C$8/G9)*B9/1000)*1000</f>
        <v>999.57489464935884</v>
      </c>
      <c r="I9" s="36">
        <f>B9*B9*$I$1+B9*$I$2+$I$3</f>
        <v>4.1550487359846109</v>
      </c>
      <c r="J9" s="35">
        <f t="shared" si="2"/>
        <v>0.99971887879403853</v>
      </c>
      <c r="K9" s="20">
        <f t="shared" si="3"/>
        <v>1.4367879403853756E-4</v>
      </c>
      <c r="L9" s="20">
        <f t="shared" ref="L9:L28" si="9">K9^2*1000</f>
        <v>2.0643595856368497E-5</v>
      </c>
      <c r="M9" s="17">
        <f>B9*B9*$M$1+B9*$M$2+$M$3</f>
        <v>0.99969375085318279</v>
      </c>
      <c r="N9" s="20">
        <f t="shared" si="4"/>
        <v>1.1855085318279723E-4</v>
      </c>
      <c r="O9" s="20">
        <f t="shared" ref="O9:O28" si="10">N9^2*1000</f>
        <v>1.4054304790369145E-5</v>
      </c>
    </row>
    <row r="10" spans="1:17">
      <c r="B10" s="17">
        <v>4.0044000000000004</v>
      </c>
      <c r="C10" s="20">
        <v>1.0011000000000001</v>
      </c>
      <c r="D10" s="36">
        <f t="shared" si="5"/>
        <v>1001.1000000000001</v>
      </c>
      <c r="E10" s="35">
        <f t="shared" ref="E10:E28" si="11">$C$8+(1-$C$8/$E$4)*B10/1000</f>
        <v>1.0010112083343286</v>
      </c>
      <c r="F10" s="20">
        <f t="shared" ref="F10:F28" si="12">C10-E10</f>
        <v>8.879166567155039E-5</v>
      </c>
      <c r="G10" s="36">
        <v>3.6192846236719145</v>
      </c>
      <c r="H10" s="45">
        <f t="shared" ref="H10:H28" si="13">($C$8+(1-$C$8/G10)*B10/1000)*1000</f>
        <v>1001.0999850407962</v>
      </c>
      <c r="I10" s="36">
        <f t="shared" ref="I10:I28" si="14">B10*B10*$I$1+B10*$I$2+$I$3</f>
        <v>4.140136973325216</v>
      </c>
      <c r="J10" s="35">
        <f t="shared" si="2"/>
        <v>1.0012389266096862</v>
      </c>
      <c r="K10" s="20">
        <f t="shared" si="3"/>
        <v>1.3892660968606307E-4</v>
      </c>
      <c r="L10" s="20">
        <f t="shared" si="9"/>
        <v>1.9300602878863715E-5</v>
      </c>
      <c r="M10" s="17">
        <f t="shared" ref="M10:M28" si="15">B10*B10*$M$1+B10*$M$2+$M$3</f>
        <v>1.0012138580433496</v>
      </c>
      <c r="N10" s="20">
        <f t="shared" si="4"/>
        <v>1.1385804334951288E-4</v>
      </c>
      <c r="O10" s="20">
        <f t="shared" si="10"/>
        <v>1.2963654035379555E-5</v>
      </c>
    </row>
    <row r="11" spans="1:17">
      <c r="B11" s="17">
        <v>6.0156000000000001</v>
      </c>
      <c r="C11" s="20">
        <v>1.0025999999999999</v>
      </c>
      <c r="D11" s="36">
        <f t="shared" si="5"/>
        <v>1002.5999999999999</v>
      </c>
      <c r="E11" s="35">
        <f t="shared" si="11"/>
        <v>1.0024231307701494</v>
      </c>
      <c r="F11" s="20">
        <f t="shared" si="12"/>
        <v>1.7686922985049591E-4</v>
      </c>
      <c r="G11" s="36">
        <v>3.7166012353661064</v>
      </c>
      <c r="H11" s="45">
        <f t="shared" si="13"/>
        <v>1002.5999378560874</v>
      </c>
      <c r="I11" s="36">
        <f t="shared" si="14"/>
        <v>4.1252665868996159</v>
      </c>
      <c r="J11" s="35">
        <f t="shared" si="2"/>
        <v>1.0027599917881407</v>
      </c>
      <c r="K11" s="20">
        <f t="shared" si="3"/>
        <v>1.5999178814074533E-4</v>
      </c>
      <c r="L11" s="20">
        <f t="shared" si="9"/>
        <v>2.5597372272473138E-5</v>
      </c>
      <c r="M11" s="17">
        <f t="shared" si="15"/>
        <v>1.0027349672854142</v>
      </c>
      <c r="N11" s="20">
        <f t="shared" si="4"/>
        <v>1.3496728541428915E-4</v>
      </c>
      <c r="O11" s="20">
        <f t="shared" si="10"/>
        <v>1.821616813210219E-5</v>
      </c>
    </row>
    <row r="12" spans="1:17">
      <c r="B12" s="17">
        <v>8.0335999999999999</v>
      </c>
      <c r="C12" s="20">
        <v>1.0042</v>
      </c>
      <c r="D12" s="36">
        <f t="shared" si="5"/>
        <v>1004.1999999999999</v>
      </c>
      <c r="E12" s="35">
        <f t="shared" si="11"/>
        <v>1.0038398270089552</v>
      </c>
      <c r="F12" s="20">
        <f t="shared" si="12"/>
        <v>3.6017299104473821E-4</v>
      </c>
      <c r="G12" s="36">
        <v>3.942526040466539</v>
      </c>
      <c r="H12" s="45">
        <f t="shared" si="13"/>
        <v>1004.1995894601355</v>
      </c>
      <c r="I12" s="36">
        <f t="shared" si="14"/>
        <v>4.1104321105269763</v>
      </c>
      <c r="J12" s="35">
        <f t="shared" si="2"/>
        <v>1.0042826762760775</v>
      </c>
      <c r="K12" s="20">
        <f t="shared" si="3"/>
        <v>8.2676276077497945E-5</v>
      </c>
      <c r="L12" s="20">
        <f t="shared" si="9"/>
        <v>6.8353666260426588E-6</v>
      </c>
      <c r="M12" s="17">
        <f t="shared" si="15"/>
        <v>1.0042576877276179</v>
      </c>
      <c r="N12" s="20">
        <f t="shared" si="4"/>
        <v>5.7687727617938833E-5</v>
      </c>
      <c r="O12" s="20">
        <f t="shared" si="10"/>
        <v>3.3278739177215032E-6</v>
      </c>
    </row>
    <row r="13" spans="1:17">
      <c r="B13" s="17">
        <v>10.057</v>
      </c>
      <c r="C13" s="20">
        <v>1.0057</v>
      </c>
      <c r="D13" s="36">
        <f t="shared" si="5"/>
        <v>1005.7</v>
      </c>
      <c r="E13" s="35">
        <f t="shared" si="11"/>
        <v>1.0052603142089553</v>
      </c>
      <c r="F13" s="20">
        <f t="shared" si="12"/>
        <v>4.3968579104469718E-4</v>
      </c>
      <c r="G13" s="36">
        <v>3.9253295215874404</v>
      </c>
      <c r="H13" s="45">
        <f t="shared" si="13"/>
        <v>1005.6995338446644</v>
      </c>
      <c r="I13" s="36">
        <f t="shared" si="14"/>
        <v>4.0956446184394002</v>
      </c>
      <c r="J13" s="35">
        <f t="shared" si="2"/>
        <v>1.0058058846481448</v>
      </c>
      <c r="K13" s="20">
        <f t="shared" si="3"/>
        <v>1.0588464814476062E-4</v>
      </c>
      <c r="L13" s="20">
        <f t="shared" si="9"/>
        <v>1.1211558712739758E-5</v>
      </c>
      <c r="M13" s="17">
        <f t="shared" si="15"/>
        <v>1.0057809308991341</v>
      </c>
      <c r="N13" s="20">
        <f t="shared" si="4"/>
        <v>8.0930899134079581E-5</v>
      </c>
      <c r="O13" s="20">
        <f t="shared" si="10"/>
        <v>6.5498104346505636E-6</v>
      </c>
    </row>
    <row r="14" spans="1:17">
      <c r="B14" s="17">
        <v>12.087599999999998</v>
      </c>
      <c r="C14" s="20">
        <v>1.0072999999999999</v>
      </c>
      <c r="D14" s="36">
        <f t="shared" si="5"/>
        <v>1007.2999999999998</v>
      </c>
      <c r="E14" s="35">
        <f t="shared" si="11"/>
        <v>1.0066858560238807</v>
      </c>
      <c r="F14" s="20">
        <f t="shared" si="12"/>
        <v>6.141439761191414E-4</v>
      </c>
      <c r="G14" s="36">
        <v>4.0386300234702963</v>
      </c>
      <c r="H14" s="45">
        <f t="shared" si="13"/>
        <v>1007.299992259286</v>
      </c>
      <c r="I14" s="36">
        <f t="shared" si="14"/>
        <v>4.0808917667818561</v>
      </c>
      <c r="J14" s="35">
        <f t="shared" si="2"/>
        <v>1.0073309319456756</v>
      </c>
      <c r="K14" s="20">
        <f t="shared" si="3"/>
        <v>3.0931945675716221E-5</v>
      </c>
      <c r="L14" s="20">
        <f t="shared" si="9"/>
        <v>9.5678526328545932E-7</v>
      </c>
      <c r="M14" s="17">
        <f t="shared" si="15"/>
        <v>1.0073060186326888</v>
      </c>
      <c r="N14" s="20">
        <f t="shared" si="4"/>
        <v>6.0186326888977959E-6</v>
      </c>
      <c r="O14" s="20">
        <f t="shared" si="10"/>
        <v>3.6223939443869118E-8</v>
      </c>
    </row>
    <row r="15" spans="1:17">
      <c r="B15" s="17">
        <v>14.123199999999999</v>
      </c>
      <c r="C15" s="20">
        <v>1.0087999999999999</v>
      </c>
      <c r="D15" s="36">
        <f t="shared" si="5"/>
        <v>1008.8</v>
      </c>
      <c r="E15" s="35">
        <f t="shared" si="11"/>
        <v>1.0081149079880598</v>
      </c>
      <c r="F15" s="20">
        <f t="shared" si="12"/>
        <v>6.8509201194011382E-4</v>
      </c>
      <c r="G15" s="36">
        <v>4.0002988898798559</v>
      </c>
      <c r="H15" s="45">
        <f t="shared" si="13"/>
        <v>1008.7990187755258</v>
      </c>
      <c r="I15" s="36">
        <f t="shared" si="14"/>
        <v>4.0661903266493438</v>
      </c>
      <c r="J15" s="35">
        <f t="shared" si="2"/>
        <v>1.0088561271117478</v>
      </c>
      <c r="K15" s="20">
        <f t="shared" si="3"/>
        <v>5.6127111747850122E-5</v>
      </c>
      <c r="L15" s="20">
        <f t="shared" si="9"/>
        <v>3.1502526731556553E-6</v>
      </c>
      <c r="M15" s="17">
        <f t="shared" si="15"/>
        <v>1.0088312663420522</v>
      </c>
      <c r="N15" s="20">
        <f t="shared" si="4"/>
        <v>3.1266342052305163E-5</v>
      </c>
      <c r="O15" s="20">
        <f t="shared" si="10"/>
        <v>9.7758414533174612E-7</v>
      </c>
    </row>
    <row r="16" spans="1:17">
      <c r="B16" s="17">
        <v>16.1648</v>
      </c>
      <c r="C16" s="20">
        <v>1.0103</v>
      </c>
      <c r="D16" s="36">
        <f t="shared" si="5"/>
        <v>1010.3</v>
      </c>
      <c r="E16" s="35">
        <f t="shared" si="11"/>
        <v>1.0095481721313433</v>
      </c>
      <c r="F16" s="20">
        <f t="shared" si="12"/>
        <v>7.5182786865668483E-4</v>
      </c>
      <c r="G16" s="36">
        <v>3.9686876275382978</v>
      </c>
      <c r="H16" s="45">
        <f t="shared" si="13"/>
        <v>1010.2990470674598</v>
      </c>
      <c r="I16" s="36">
        <f t="shared" si="14"/>
        <v>4.0515337880458242</v>
      </c>
      <c r="J16" s="35">
        <f t="shared" si="2"/>
        <v>1.0103821839824294</v>
      </c>
      <c r="K16" s="20">
        <f t="shared" si="3"/>
        <v>8.2183982429429037E-5</v>
      </c>
      <c r="L16" s="20">
        <f t="shared" si="9"/>
        <v>6.7542069679607006E-6</v>
      </c>
      <c r="M16" s="17">
        <f t="shared" si="15"/>
        <v>1.010357394130774</v>
      </c>
      <c r="N16" s="20">
        <f t="shared" si="4"/>
        <v>5.7394130773991137E-5</v>
      </c>
      <c r="O16" s="20">
        <f t="shared" si="10"/>
        <v>3.2940862473019962E-6</v>
      </c>
    </row>
    <row r="17" spans="1:15">
      <c r="B17" s="17">
        <v>18.214200000000002</v>
      </c>
      <c r="C17" s="20">
        <v>1.0119</v>
      </c>
      <c r="D17" s="36">
        <f t="shared" si="5"/>
        <v>1011.9</v>
      </c>
      <c r="E17" s="35">
        <f t="shared" si="11"/>
        <v>1.0109869121074628</v>
      </c>
      <c r="F17" s="20">
        <f t="shared" si="12"/>
        <v>9.1308789253718992E-4</v>
      </c>
      <c r="G17" s="36">
        <v>4.0275954476639582</v>
      </c>
      <c r="H17" s="45">
        <f t="shared" si="13"/>
        <v>1011.8999893062362</v>
      </c>
      <c r="I17" s="36">
        <f t="shared" si="14"/>
        <v>4.0369101250653836</v>
      </c>
      <c r="J17" s="35">
        <f t="shared" si="2"/>
        <v>1.0119104052964443</v>
      </c>
      <c r="K17" s="20">
        <f t="shared" si="3"/>
        <v>1.0405296444249146E-5</v>
      </c>
      <c r="L17" s="20">
        <f t="shared" si="9"/>
        <v>1.0827019409270391E-7</v>
      </c>
      <c r="M17" s="17">
        <f t="shared" si="15"/>
        <v>1.0118857108027848</v>
      </c>
      <c r="N17" s="20">
        <f t="shared" si="4"/>
        <v>-1.4289197215244798E-5</v>
      </c>
      <c r="O17" s="20">
        <f t="shared" si="10"/>
        <v>2.0418115705615967E-7</v>
      </c>
    </row>
    <row r="18" spans="1:15">
      <c r="B18" s="17">
        <v>20.268000000000001</v>
      </c>
      <c r="C18" s="20">
        <v>1.0134000000000001</v>
      </c>
      <c r="D18" s="36">
        <f t="shared" si="5"/>
        <v>1013.4000000000001</v>
      </c>
      <c r="E18" s="35">
        <f t="shared" si="11"/>
        <v>1.0124287410149255</v>
      </c>
      <c r="F18" s="20">
        <f t="shared" si="12"/>
        <v>9.7125898507455233E-4</v>
      </c>
      <c r="G18" s="36">
        <v>3.9920051477542451</v>
      </c>
      <c r="H18" s="45">
        <f t="shared" si="13"/>
        <v>1013.3999911044249</v>
      </c>
      <c r="I18" s="36">
        <f t="shared" si="14"/>
        <v>4.0223443933344001</v>
      </c>
      <c r="J18" s="35">
        <f t="shared" si="2"/>
        <v>1.013438217459866</v>
      </c>
      <c r="K18" s="20">
        <f t="shared" si="3"/>
        <v>3.8217459865874659E-5</v>
      </c>
      <c r="L18" s="20">
        <f t="shared" si="9"/>
        <v>1.4605742385997404E-6</v>
      </c>
      <c r="M18" s="17">
        <f t="shared" si="15"/>
        <v>1.0134136482841929</v>
      </c>
      <c r="N18" s="20">
        <f t="shared" si="4"/>
        <v>1.3648284192813165E-5</v>
      </c>
      <c r="O18" s="20">
        <f t="shared" si="10"/>
        <v>1.862756614077937E-7</v>
      </c>
    </row>
    <row r="19" spans="1:15">
      <c r="B19" s="17">
        <v>30.632999999999999</v>
      </c>
      <c r="C19" s="20">
        <v>1.0211000000000001</v>
      </c>
      <c r="D19" s="36">
        <f t="shared" si="5"/>
        <v>1021.1000000000001</v>
      </c>
      <c r="E19" s="35">
        <f t="shared" si="11"/>
        <v>1.0197052804179105</v>
      </c>
      <c r="F19" s="20">
        <f t="shared" si="12"/>
        <v>1.3947195820895875E-3</v>
      </c>
      <c r="G19" s="36">
        <v>3.9541991890422459</v>
      </c>
      <c r="H19" s="45">
        <f t="shared" si="13"/>
        <v>1021.099990321394</v>
      </c>
      <c r="I19" s="36">
        <f t="shared" si="14"/>
        <v>3.9501993353033997</v>
      </c>
      <c r="J19" s="35">
        <f t="shared" si="2"/>
        <v>1.0210921601070049</v>
      </c>
      <c r="K19" s="20">
        <f t="shared" si="3"/>
        <v>-7.839892995242792E-6</v>
      </c>
      <c r="L19" s="20">
        <f t="shared" si="9"/>
        <v>6.1463922176856994E-8</v>
      </c>
      <c r="M19" s="17">
        <f t="shared" si="15"/>
        <v>1.0210688439587523</v>
      </c>
      <c r="N19" s="20">
        <f t="shared" si="4"/>
        <v>-3.1156041247815125E-5</v>
      </c>
      <c r="O19" s="20">
        <f t="shared" si="10"/>
        <v>9.7069890623555746E-7</v>
      </c>
    </row>
    <row r="20" spans="1:15">
      <c r="B20" s="17">
        <v>41.152000000000001</v>
      </c>
      <c r="C20" s="20">
        <v>1.0287999999999999</v>
      </c>
      <c r="D20" s="36">
        <f t="shared" si="5"/>
        <v>1028.8</v>
      </c>
      <c r="E20" s="35">
        <f t="shared" si="11"/>
        <v>1.0270899324179106</v>
      </c>
      <c r="F20" s="20">
        <f t="shared" si="12"/>
        <v>1.7100675820893585E-3</v>
      </c>
      <c r="G20" s="36">
        <v>3.8929016413942583</v>
      </c>
      <c r="H20" s="45">
        <f t="shared" si="13"/>
        <v>1028.799992735494</v>
      </c>
      <c r="I20" s="36">
        <f t="shared" si="14"/>
        <v>3.8793109633023999</v>
      </c>
      <c r="J20" s="35">
        <f t="shared" si="2"/>
        <v>1.0287630251050792</v>
      </c>
      <c r="K20" s="20">
        <f t="shared" si="3"/>
        <v>-3.6974894920716039E-5</v>
      </c>
      <c r="L20" s="20">
        <f t="shared" si="9"/>
        <v>1.3671428543979926E-6</v>
      </c>
      <c r="M20" s="17">
        <f t="shared" si="15"/>
        <v>1.0287423579184762</v>
      </c>
      <c r="N20" s="20">
        <f t="shared" si="4"/>
        <v>-5.7642081523701094E-5</v>
      </c>
      <c r="O20" s="20">
        <f t="shared" si="10"/>
        <v>3.3226095623850031E-6</v>
      </c>
    </row>
    <row r="21" spans="1:15">
      <c r="B21" s="17">
        <v>51.825000000000003</v>
      </c>
      <c r="C21" s="20">
        <v>1.0365</v>
      </c>
      <c r="D21" s="36">
        <f t="shared" si="5"/>
        <v>1036.5</v>
      </c>
      <c r="E21" s="35">
        <f t="shared" si="11"/>
        <v>1.0345826970149254</v>
      </c>
      <c r="F21" s="20">
        <f t="shared" si="12"/>
        <v>1.9173029850745316E-3</v>
      </c>
      <c r="G21" s="36">
        <v>3.8248945036349293</v>
      </c>
      <c r="H21" s="45">
        <f>($C$8+(1-$C$8/G21)*B21/1000)*1000</f>
        <v>1036.4999955976989</v>
      </c>
      <c r="I21" s="36">
        <f t="shared" si="14"/>
        <v>3.8097823046250001</v>
      </c>
      <c r="J21" s="35">
        <f t="shared" si="2"/>
        <v>1.0364463461915663</v>
      </c>
      <c r="K21" s="20">
        <f t="shared" si="3"/>
        <v>-5.3653808433695716E-5</v>
      </c>
      <c r="L21" s="20">
        <f t="shared" si="9"/>
        <v>2.8787311594397174E-6</v>
      </c>
      <c r="M21" s="17">
        <f t="shared" si="15"/>
        <v>1.0364299683509561</v>
      </c>
      <c r="N21" s="20">
        <f t="shared" si="4"/>
        <v>-7.0031649043844624E-5</v>
      </c>
      <c r="O21" s="20">
        <f t="shared" si="10"/>
        <v>4.9044318678002239E-6</v>
      </c>
    </row>
    <row r="22" spans="1:15">
      <c r="B22" s="17">
        <v>62.645999999999994</v>
      </c>
      <c r="C22" s="20">
        <v>1.0440999999999998</v>
      </c>
      <c r="D22" s="36">
        <f t="shared" si="5"/>
        <v>1044.0999999999999</v>
      </c>
      <c r="E22" s="35">
        <f t="shared" si="11"/>
        <v>1.0421793620298507</v>
      </c>
      <c r="F22" s="20">
        <f t="shared" si="12"/>
        <v>1.920637970149075E-3</v>
      </c>
      <c r="G22" s="36">
        <v>3.7340508991131518</v>
      </c>
      <c r="H22" s="45">
        <f t="shared" si="13"/>
        <v>1044.0992445621318</v>
      </c>
      <c r="I22" s="36">
        <f t="shared" si="14"/>
        <v>3.7417549259495999</v>
      </c>
      <c r="J22" s="35">
        <f t="shared" si="2"/>
        <v>1.0441337250280815</v>
      </c>
      <c r="K22" s="20">
        <f t="shared" si="3"/>
        <v>3.3725028081743602E-5</v>
      </c>
      <c r="L22" s="20">
        <f t="shared" si="9"/>
        <v>1.1373775191143945E-6</v>
      </c>
      <c r="M22" s="17">
        <f t="shared" si="15"/>
        <v>1.0441231541550791</v>
      </c>
      <c r="N22" s="20">
        <f t="shared" si="4"/>
        <v>2.3154155079252448E-5</v>
      </c>
      <c r="O22" s="20">
        <f t="shared" si="10"/>
        <v>5.3611489743407196E-7</v>
      </c>
    </row>
    <row r="23" spans="1:15">
      <c r="B23" s="17">
        <v>73.626000000000005</v>
      </c>
      <c r="C23" s="20">
        <v>1.0517999999999998</v>
      </c>
      <c r="D23" s="36">
        <f t="shared" si="5"/>
        <v>1051.8</v>
      </c>
      <c r="E23" s="35">
        <f t="shared" si="11"/>
        <v>1.0498876497910448</v>
      </c>
      <c r="F23" s="20">
        <f t="shared" si="12"/>
        <v>1.9123502089550826E-3</v>
      </c>
      <c r="G23" s="36">
        <v>3.6698141373582556</v>
      </c>
      <c r="H23" s="45">
        <f t="shared" si="13"/>
        <v>1051.7995162465463</v>
      </c>
      <c r="I23" s="36">
        <f t="shared" si="14"/>
        <v>3.6752653514856002</v>
      </c>
      <c r="J23" s="35">
        <f t="shared" si="2"/>
        <v>1.0518292198572294</v>
      </c>
      <c r="K23" s="20">
        <f t="shared" si="3"/>
        <v>2.9219857229589863E-5</v>
      </c>
      <c r="L23" s="20">
        <f t="shared" si="9"/>
        <v>8.5380005651761493E-7</v>
      </c>
      <c r="M23" s="17">
        <f t="shared" si="15"/>
        <v>1.0518254053900575</v>
      </c>
      <c r="N23" s="20">
        <f t="shared" si="4"/>
        <v>2.5405390057686716E-5</v>
      </c>
      <c r="O23" s="20">
        <f t="shared" si="10"/>
        <v>6.4543384398320699E-7</v>
      </c>
    </row>
    <row r="24" spans="1:15">
      <c r="B24" s="17">
        <v>84.76</v>
      </c>
      <c r="C24" s="20">
        <v>1.0595000000000001</v>
      </c>
      <c r="D24" s="36">
        <f t="shared" si="5"/>
        <v>1059.5</v>
      </c>
      <c r="E24" s="35">
        <f t="shared" si="11"/>
        <v>1.0577040501492538</v>
      </c>
      <c r="F24" s="20">
        <f t="shared" si="12"/>
        <v>1.7959498507462701E-3</v>
      </c>
      <c r="G24" s="36">
        <v>3.6064133987653495</v>
      </c>
      <c r="H24" s="45">
        <f t="shared" si="13"/>
        <v>1059.4997300184818</v>
      </c>
      <c r="I24" s="36">
        <f t="shared" si="14"/>
        <v>3.6104531305599998</v>
      </c>
      <c r="J24" s="35">
        <f t="shared" si="2"/>
        <v>1.0595259796871876</v>
      </c>
      <c r="K24" s="20">
        <f t="shared" si="3"/>
        <v>2.5979687187538403E-5</v>
      </c>
      <c r="L24" s="20">
        <f t="shared" si="9"/>
        <v>6.7494414636234707E-7</v>
      </c>
      <c r="M24" s="17">
        <f t="shared" si="15"/>
        <v>1.0595287369604816</v>
      </c>
      <c r="N24" s="20">
        <f t="shared" si="4"/>
        <v>2.8736960481445806E-5</v>
      </c>
      <c r="O24" s="20">
        <f t="shared" si="10"/>
        <v>8.2581289771217798E-7</v>
      </c>
    </row>
    <row r="25" spans="1:15">
      <c r="B25" s="17">
        <v>96.048000000000002</v>
      </c>
      <c r="C25" s="20">
        <v>1.0672000000000001</v>
      </c>
      <c r="D25" s="36">
        <f t="shared" si="5"/>
        <v>1067.2</v>
      </c>
      <c r="E25" s="35">
        <f t="shared" si="11"/>
        <v>1.0656285631044777</v>
      </c>
      <c r="F25" s="20">
        <f t="shared" si="12"/>
        <v>1.5714368955224156E-3</v>
      </c>
      <c r="G25" s="36">
        <v>3.5446119844433532</v>
      </c>
      <c r="H25" s="45">
        <f t="shared" si="13"/>
        <v>1067.1998734290869</v>
      </c>
      <c r="I25" s="36">
        <f t="shared" si="14"/>
        <v>3.5474273140224</v>
      </c>
      <c r="J25" s="35">
        <f t="shared" si="2"/>
        <v>1.0672213395181851</v>
      </c>
      <c r="K25" s="20">
        <f t="shared" si="3"/>
        <v>2.1339518184948503E-5</v>
      </c>
      <c r="L25" s="20">
        <f t="shared" si="9"/>
        <v>4.5537503636574781E-7</v>
      </c>
      <c r="M25" s="17">
        <f t="shared" si="15"/>
        <v>1.0672286802230051</v>
      </c>
      <c r="N25" s="20">
        <f t="shared" si="4"/>
        <v>2.8680223004950989E-5</v>
      </c>
      <c r="O25" s="20">
        <f t="shared" si="10"/>
        <v>8.2255519161372E-7</v>
      </c>
    </row>
    <row r="26" spans="1:15">
      <c r="B26" s="17">
        <v>107.49000000000001</v>
      </c>
      <c r="C26" s="20">
        <v>1.0749000000000002</v>
      </c>
      <c r="D26" s="36">
        <f t="shared" si="5"/>
        <v>1074.9000000000001</v>
      </c>
      <c r="E26" s="35">
        <f t="shared" si="11"/>
        <v>1.0736611886567164</v>
      </c>
      <c r="F26" s="20">
        <f t="shared" si="12"/>
        <v>1.2388113432837411E-3</v>
      </c>
      <c r="G26" s="36">
        <v>3.4847794043411611</v>
      </c>
      <c r="H26" s="45">
        <f t="shared" si="13"/>
        <v>1074.8999540457753</v>
      </c>
      <c r="I26" s="36">
        <f t="shared" si="14"/>
        <v>3.4862984610599996</v>
      </c>
      <c r="J26" s="35">
        <f t="shared" si="2"/>
        <v>1.0749133699442426</v>
      </c>
      <c r="K26" s="20">
        <f t="shared" si="3"/>
        <v>1.3369944242391796E-5</v>
      </c>
      <c r="L26" s="20">
        <f t="shared" si="9"/>
        <v>1.7875540904466552E-7</v>
      </c>
      <c r="M26" s="17">
        <f t="shared" si="15"/>
        <v>1.0749207047262106</v>
      </c>
      <c r="N26" s="20">
        <f t="shared" si="4"/>
        <v>2.0704726210407642E-5</v>
      </c>
      <c r="O26" s="20">
        <f t="shared" si="10"/>
        <v>4.2868568744794118E-7</v>
      </c>
    </row>
    <row r="27" spans="1:15">
      <c r="B27" s="21">
        <v>119.08599999999998</v>
      </c>
      <c r="C27" s="20">
        <v>1.0826</v>
      </c>
      <c r="D27" s="36">
        <f t="shared" si="5"/>
        <v>1082.5999999999999</v>
      </c>
      <c r="E27" s="35">
        <f t="shared" si="11"/>
        <v>1.0818019268059702</v>
      </c>
      <c r="F27" s="20">
        <f t="shared" si="12"/>
        <v>7.9807319402980248E-4</v>
      </c>
      <c r="G27" s="36">
        <v>3.4270774643165445</v>
      </c>
      <c r="H27" s="45">
        <f t="shared" si="13"/>
        <v>1082.5999894158458</v>
      </c>
      <c r="I27" s="36">
        <f t="shared" si="14"/>
        <v>3.4271786391976002</v>
      </c>
      <c r="J27" s="35">
        <f t="shared" si="2"/>
        <v>1.0826010133931065</v>
      </c>
      <c r="K27" s="20">
        <f t="shared" si="3"/>
        <v>1.0133931065414714E-6</v>
      </c>
      <c r="L27" s="20">
        <f t="shared" si="9"/>
        <v>1.026965588385774E-9</v>
      </c>
      <c r="M27" s="17">
        <f t="shared" si="15"/>
        <v>1.0826002182106076</v>
      </c>
      <c r="N27" s="20">
        <f t="shared" si="4"/>
        <v>2.1821060758320243E-7</v>
      </c>
      <c r="O27" s="20">
        <f t="shared" si="10"/>
        <v>4.7615869261830367E-11</v>
      </c>
    </row>
    <row r="28" spans="1:15">
      <c r="B28" s="21">
        <v>130.83600000000001</v>
      </c>
      <c r="C28" s="20">
        <v>1.0903</v>
      </c>
      <c r="D28" s="36">
        <f t="shared" si="5"/>
        <v>1090.3</v>
      </c>
      <c r="E28" s="35">
        <f t="shared" si="11"/>
        <v>1.0900507775522388</v>
      </c>
      <c r="F28" s="20">
        <f t="shared" si="12"/>
        <v>2.492224477612659E-4</v>
      </c>
      <c r="G28" s="36">
        <v>3.3715015880618786</v>
      </c>
      <c r="H28" s="45">
        <f t="shared" si="13"/>
        <v>1090.29940391995</v>
      </c>
      <c r="I28" s="36">
        <f t="shared" si="14"/>
        <v>3.3701814242975998</v>
      </c>
      <c r="J28" s="35">
        <f t="shared" si="2"/>
        <v>1.0902842300630984</v>
      </c>
      <c r="K28" s="20">
        <f t="shared" si="3"/>
        <v>-1.5769936901666171E-5</v>
      </c>
      <c r="L28" s="20">
        <f t="shared" si="9"/>
        <v>2.4869090988253242E-7</v>
      </c>
      <c r="M28" s="17">
        <f t="shared" si="15"/>
        <v>1.0902625666086343</v>
      </c>
      <c r="N28" s="20">
        <f t="shared" si="4"/>
        <v>-3.7433391365748747E-5</v>
      </c>
      <c r="O28" s="20">
        <f t="shared" si="10"/>
        <v>1.4012587891413128E-6</v>
      </c>
    </row>
    <row r="29" spans="1:15">
      <c r="B29" s="21"/>
      <c r="D29" s="36"/>
      <c r="E29" s="35"/>
      <c r="F29" s="20"/>
      <c r="G29" s="36"/>
      <c r="H29" s="45"/>
      <c r="I29" s="36"/>
      <c r="J29" s="35"/>
      <c r="K29" s="20"/>
      <c r="L29" s="20"/>
      <c r="N29" s="20"/>
      <c r="O29" s="20"/>
    </row>
    <row r="30" spans="1:15">
      <c r="B30" s="21"/>
      <c r="D30" s="20"/>
      <c r="E30" s="35">
        <f>$C$8+(1-$C$8/$E$4)*B18/1000</f>
        <v>1.0124287410149255</v>
      </c>
      <c r="F30" s="20"/>
      <c r="G30" s="36"/>
      <c r="H30" s="35"/>
      <c r="I30" s="36">
        <f>B18*B18*$I$1+B18*$I$2+$I$3</f>
        <v>4.0223443933344001</v>
      </c>
      <c r="J30" s="35" t="s">
        <v>99</v>
      </c>
      <c r="K30" s="20"/>
      <c r="L30" s="20">
        <f>SUM(L7:L28)</f>
        <v>1.038758936624723E-4</v>
      </c>
      <c r="M30" s="39"/>
      <c r="N30" s="20"/>
      <c r="O30" s="20">
        <f>SUM(O8:O28)</f>
        <v>7.430335582845322E-5</v>
      </c>
    </row>
    <row r="31" spans="1:15">
      <c r="B31" s="21"/>
      <c r="D31" s="20"/>
      <c r="E31" s="35"/>
      <c r="F31" s="20"/>
      <c r="G31" s="36"/>
      <c r="H31" s="35"/>
      <c r="I31" s="36"/>
      <c r="J31" s="35" t="s">
        <v>101</v>
      </c>
      <c r="K31" s="20">
        <f>MAX(K8:K29)</f>
        <v>1.5999178814074533E-4</v>
      </c>
      <c r="L31" s="20"/>
      <c r="N31" s="20"/>
      <c r="O31" s="20"/>
    </row>
    <row r="32" spans="1:15">
      <c r="A32" s="17" t="s">
        <v>94</v>
      </c>
      <c r="B32" s="21"/>
      <c r="D32" s="20"/>
      <c r="E32" s="35"/>
      <c r="F32" s="20"/>
      <c r="G32" s="36"/>
      <c r="H32" s="35"/>
      <c r="I32" s="36"/>
      <c r="J32" s="35" t="s">
        <v>102</v>
      </c>
      <c r="K32" s="20">
        <f>MIN(K8:K29)</f>
        <v>-5.3653808433695716E-5</v>
      </c>
      <c r="L32" s="20"/>
      <c r="N32" s="20"/>
      <c r="O32" s="20"/>
    </row>
    <row r="33" spans="1:15">
      <c r="A33" s="17" t="s">
        <v>95</v>
      </c>
      <c r="B33" s="21"/>
      <c r="D33" s="20"/>
      <c r="E33" s="35"/>
      <c r="F33" s="20"/>
      <c r="G33" s="36"/>
      <c r="H33" s="35"/>
      <c r="I33" s="36"/>
      <c r="J33" s="35"/>
      <c r="K33" s="20"/>
      <c r="L33" s="20"/>
      <c r="N33" s="20"/>
      <c r="O33" s="20"/>
    </row>
    <row r="34" spans="1:15">
      <c r="B34" s="21"/>
      <c r="D34" s="20"/>
      <c r="E34" s="35"/>
      <c r="F34" s="20"/>
      <c r="G34" s="36"/>
      <c r="H34" s="35"/>
      <c r="I34" s="36"/>
      <c r="J34" s="35"/>
      <c r="K34" s="20"/>
      <c r="L34" s="20"/>
      <c r="N34" s="20"/>
      <c r="O34" s="20"/>
    </row>
    <row r="35" spans="1:15" ht="15">
      <c r="A35" s="33" t="s">
        <v>96</v>
      </c>
      <c r="B35" s="21"/>
      <c r="D35" s="20"/>
      <c r="E35" s="35"/>
      <c r="F35" s="20"/>
      <c r="G35" s="36"/>
      <c r="H35" s="35"/>
      <c r="I35" s="36"/>
      <c r="J35" s="44"/>
      <c r="K35" s="20"/>
      <c r="L35" s="20"/>
      <c r="N35" s="20"/>
      <c r="O35" s="20"/>
    </row>
    <row r="36" spans="1:15">
      <c r="B36" s="21"/>
      <c r="D36" s="20"/>
      <c r="E36" s="35"/>
      <c r="F36" s="20"/>
      <c r="G36" s="36"/>
      <c r="H36" s="35"/>
      <c r="I36" s="36"/>
      <c r="J36" s="35"/>
      <c r="K36" s="20"/>
      <c r="L36" s="20"/>
      <c r="N36" s="20"/>
      <c r="O36" s="20"/>
    </row>
    <row r="37" spans="1:15">
      <c r="B37" s="21"/>
      <c r="C37" s="18"/>
      <c r="F37" s="20"/>
      <c r="G37" s="36"/>
      <c r="H37" s="35"/>
      <c r="I37" s="36"/>
      <c r="J37" s="35"/>
      <c r="K37" s="20"/>
      <c r="L37" s="20"/>
      <c r="N37" s="20"/>
      <c r="O37" s="20"/>
    </row>
    <row r="38" spans="1:15">
      <c r="F38" s="20"/>
      <c r="G38" s="36"/>
      <c r="H38" s="35"/>
      <c r="I38" s="36"/>
      <c r="J38" s="35"/>
      <c r="K38" s="20"/>
      <c r="L38" s="20"/>
      <c r="N38" s="20"/>
      <c r="O38" s="20"/>
    </row>
    <row r="39" spans="1:15">
      <c r="E39" s="35"/>
      <c r="F39" s="20"/>
      <c r="G39" s="36"/>
      <c r="H39" s="35"/>
      <c r="I39" s="36"/>
      <c r="J39" s="35"/>
      <c r="K39" s="20"/>
      <c r="L39" s="20"/>
      <c r="N39" s="20"/>
      <c r="O39" s="20"/>
    </row>
    <row r="40" spans="1:15">
      <c r="E40" s="35"/>
      <c r="F40" s="20"/>
      <c r="G40" s="36"/>
      <c r="H40" s="35"/>
      <c r="I40" s="36"/>
      <c r="J40" s="35"/>
      <c r="K40" s="20"/>
      <c r="L40" s="20"/>
      <c r="N40" s="20"/>
      <c r="O40" s="20"/>
    </row>
    <row r="41" spans="1:15">
      <c r="E41" s="35"/>
      <c r="F41" s="20"/>
      <c r="G41" s="36"/>
      <c r="H41" s="35"/>
      <c r="I41" s="36"/>
      <c r="J41" s="35"/>
      <c r="K41" s="20"/>
      <c r="L41" s="20"/>
      <c r="N41" s="20"/>
      <c r="O41" s="20"/>
    </row>
    <row r="42" spans="1:15">
      <c r="B42" s="17">
        <v>58.442500000000003</v>
      </c>
      <c r="C42" s="18" t="s">
        <v>60</v>
      </c>
      <c r="E42" s="35"/>
      <c r="F42" s="20"/>
      <c r="G42" s="36"/>
      <c r="H42" s="35"/>
      <c r="I42" s="36"/>
      <c r="J42" s="35"/>
      <c r="K42" s="20"/>
      <c r="L42" s="20"/>
      <c r="N42" s="20"/>
      <c r="O42" s="20"/>
    </row>
    <row r="43" spans="1:15">
      <c r="E43" s="35"/>
      <c r="F43" s="20"/>
      <c r="G43" s="36"/>
      <c r="H43" s="35"/>
      <c r="I43" s="36"/>
      <c r="J43" s="35"/>
      <c r="K43" s="20"/>
      <c r="L43" s="20"/>
      <c r="N43" s="20"/>
      <c r="O43" s="20"/>
    </row>
    <row r="44" spans="1:15">
      <c r="E44" s="35"/>
      <c r="F44" s="20"/>
      <c r="G44" s="36"/>
      <c r="H44" s="35"/>
      <c r="I44" s="36"/>
      <c r="J44" s="35"/>
      <c r="K44" s="20"/>
      <c r="L44" s="20"/>
      <c r="N44" s="20"/>
      <c r="O44" s="20"/>
    </row>
    <row r="45" spans="1:15">
      <c r="E45" s="35"/>
      <c r="F45" s="20"/>
      <c r="G45" s="36"/>
      <c r="H45" s="35"/>
      <c r="I45" s="36"/>
      <c r="J45" s="35"/>
      <c r="K45" s="20"/>
      <c r="L45" s="20"/>
      <c r="N45" s="20"/>
      <c r="O45" s="20"/>
    </row>
    <row r="46" spans="1:15">
      <c r="E46" s="35"/>
      <c r="F46" s="20"/>
      <c r="G46" s="36"/>
      <c r="H46" s="35"/>
      <c r="I46" s="36"/>
      <c r="J46" s="35"/>
      <c r="K46" s="20"/>
      <c r="L46" s="20"/>
      <c r="N46" s="20"/>
      <c r="O46" s="20"/>
    </row>
    <row r="47" spans="1:15">
      <c r="E47" s="35"/>
      <c r="F47" s="20"/>
      <c r="G47" s="36"/>
      <c r="H47" s="35"/>
      <c r="I47" s="36"/>
      <c r="J47" s="35"/>
      <c r="K47" s="20"/>
      <c r="L47" s="20"/>
      <c r="N47" s="20"/>
      <c r="O47" s="20"/>
    </row>
    <row r="48" spans="1:15">
      <c r="E48" s="37"/>
      <c r="F48" s="38"/>
      <c r="G48" s="20"/>
      <c r="H48" s="20"/>
      <c r="I48" s="20"/>
      <c r="J48" s="35"/>
      <c r="K48" s="20"/>
      <c r="L48" s="20"/>
    </row>
    <row r="49" spans="4:12">
      <c r="D49" s="18"/>
      <c r="E49" s="37"/>
      <c r="G49" s="20"/>
      <c r="H49" s="20"/>
      <c r="I49" s="20"/>
      <c r="J49" s="35"/>
      <c r="K49" s="20"/>
      <c r="L49" s="20"/>
    </row>
    <row r="54" spans="4:12">
      <c r="D54" s="18"/>
    </row>
  </sheetData>
  <dataConsolidate/>
  <mergeCells count="5">
    <mergeCell ref="G4:K4"/>
    <mergeCell ref="M4:N4"/>
    <mergeCell ref="G5:I5"/>
    <mergeCell ref="J5:K5"/>
    <mergeCell ref="M5:N5"/>
  </mergeCells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29"/>
  <sheetViews>
    <sheetView tabSelected="1" topLeftCell="R7" workbookViewId="0">
      <selection activeCell="AC13" sqref="AC13"/>
    </sheetView>
  </sheetViews>
  <sheetFormatPr defaultRowHeight="15.75"/>
  <cols>
    <col min="12" max="12" width="10.875" bestFit="1" customWidth="1"/>
  </cols>
  <sheetData>
    <row r="1" spans="1:29">
      <c r="A1" t="s">
        <v>97</v>
      </c>
    </row>
    <row r="2" spans="1:29">
      <c r="A2" t="s">
        <v>106</v>
      </c>
    </row>
    <row r="3" spans="1:29">
      <c r="A3" t="s">
        <v>103</v>
      </c>
    </row>
    <row r="4" spans="1:29">
      <c r="A4" s="46" t="s">
        <v>40</v>
      </c>
    </row>
    <row r="5" spans="1:29">
      <c r="A5" s="18" t="s">
        <v>104</v>
      </c>
    </row>
    <row r="6" spans="1:29">
      <c r="A6" s="18" t="s">
        <v>105</v>
      </c>
    </row>
    <row r="7" spans="1:29">
      <c r="A7" s="18"/>
      <c r="L7" t="s">
        <v>119</v>
      </c>
      <c r="O7" t="s">
        <v>120</v>
      </c>
    </row>
    <row r="8" spans="1:29">
      <c r="A8" s="18"/>
      <c r="L8" t="s">
        <v>127</v>
      </c>
    </row>
    <row r="9" spans="1:29">
      <c r="A9" s="18"/>
      <c r="L9" s="47">
        <v>5.0000000000000001E-9</v>
      </c>
      <c r="M9" t="s">
        <v>116</v>
      </c>
      <c r="P9" s="47">
        <v>4.9999999999999998E-8</v>
      </c>
      <c r="Q9" t="s">
        <v>116</v>
      </c>
      <c r="T9" s="47">
        <v>2.3000000000000001E-8</v>
      </c>
      <c r="U9" t="s">
        <v>116</v>
      </c>
      <c r="X9" s="47">
        <v>3.2000000000000002E-8</v>
      </c>
      <c r="Y9" t="s">
        <v>116</v>
      </c>
    </row>
    <row r="10" spans="1:29">
      <c r="A10" s="18"/>
      <c r="L10" s="47">
        <v>2.2500000000000001E-5</v>
      </c>
      <c r="M10" t="s">
        <v>117</v>
      </c>
      <c r="P10" s="47">
        <v>2.0000000000000002E-5</v>
      </c>
      <c r="Q10" t="s">
        <v>117</v>
      </c>
      <c r="T10" s="47">
        <v>1.95E-5</v>
      </c>
      <c r="U10" t="s">
        <v>117</v>
      </c>
      <c r="X10" s="47">
        <v>1.8E-5</v>
      </c>
      <c r="Y10" t="s">
        <v>117</v>
      </c>
    </row>
    <row r="11" spans="1:29">
      <c r="A11" s="18"/>
      <c r="L11" s="47">
        <v>0.01</v>
      </c>
      <c r="M11" t="s">
        <v>118</v>
      </c>
      <c r="P11" s="47">
        <v>9.1999999999999998E-3</v>
      </c>
      <c r="Q11" t="s">
        <v>118</v>
      </c>
      <c r="T11" s="47">
        <v>8.8999999999999999E-3</v>
      </c>
      <c r="U11" t="s">
        <v>118</v>
      </c>
      <c r="X11" s="47">
        <v>8.8000000000000005E-3</v>
      </c>
      <c r="Y11" t="s">
        <v>118</v>
      </c>
    </row>
    <row r="12" spans="1:29">
      <c r="E12" s="68" t="s">
        <v>109</v>
      </c>
      <c r="F12" s="68"/>
      <c r="G12" s="68"/>
      <c r="H12" s="68"/>
      <c r="I12" s="68"/>
      <c r="J12" s="68"/>
      <c r="K12" s="68"/>
      <c r="L12" s="68" t="s">
        <v>114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</row>
    <row r="13" spans="1:29">
      <c r="E13" s="68" t="s">
        <v>113</v>
      </c>
      <c r="F13" s="68"/>
      <c r="G13" s="68"/>
      <c r="H13" s="68"/>
      <c r="I13" s="68" t="s">
        <v>110</v>
      </c>
      <c r="J13" s="68"/>
      <c r="K13" s="68"/>
      <c r="L13" s="50" t="s">
        <v>90</v>
      </c>
      <c r="M13" s="50" t="s">
        <v>88</v>
      </c>
      <c r="N13" s="59" t="s">
        <v>128</v>
      </c>
      <c r="O13" s="50" t="s">
        <v>98</v>
      </c>
      <c r="P13" s="50" t="s">
        <v>90</v>
      </c>
      <c r="Q13" s="50" t="s">
        <v>88</v>
      </c>
      <c r="R13" s="59"/>
      <c r="S13" s="50" t="s">
        <v>98</v>
      </c>
      <c r="T13" s="69" t="s">
        <v>90</v>
      </c>
      <c r="U13" s="60" t="s">
        <v>88</v>
      </c>
      <c r="V13" s="60"/>
      <c r="W13" s="60" t="s">
        <v>98</v>
      </c>
      <c r="X13" s="69" t="s">
        <v>90</v>
      </c>
      <c r="Y13" s="50" t="s">
        <v>88</v>
      </c>
      <c r="Z13" s="59"/>
      <c r="AA13" s="50" t="s">
        <v>98</v>
      </c>
    </row>
    <row r="14" spans="1:29">
      <c r="A14" s="15" t="s">
        <v>45</v>
      </c>
      <c r="B14" s="15" t="s">
        <v>48</v>
      </c>
      <c r="C14" s="15" t="s">
        <v>48</v>
      </c>
      <c r="D14" s="48" t="s">
        <v>45</v>
      </c>
      <c r="E14" s="15">
        <v>20</v>
      </c>
      <c r="F14" s="15">
        <v>30</v>
      </c>
      <c r="G14" s="15">
        <v>20</v>
      </c>
      <c r="H14" s="15">
        <v>30</v>
      </c>
      <c r="I14" s="51">
        <v>24</v>
      </c>
      <c r="J14" s="51">
        <v>25.3</v>
      </c>
      <c r="K14" s="51">
        <v>26</v>
      </c>
      <c r="L14" s="51">
        <v>20</v>
      </c>
      <c r="M14" s="15">
        <v>20</v>
      </c>
      <c r="N14" s="15"/>
      <c r="O14" s="51">
        <v>20</v>
      </c>
      <c r="P14" s="51">
        <v>24</v>
      </c>
      <c r="Q14" s="15">
        <v>24</v>
      </c>
      <c r="R14" s="15"/>
      <c r="S14" s="51">
        <v>24</v>
      </c>
      <c r="T14" s="51">
        <v>25.3</v>
      </c>
      <c r="U14" s="15">
        <v>25.3</v>
      </c>
      <c r="V14" s="15"/>
      <c r="W14" s="51">
        <v>25.3</v>
      </c>
      <c r="X14" s="51">
        <v>26</v>
      </c>
      <c r="Y14" s="15">
        <v>26</v>
      </c>
      <c r="Z14" s="15"/>
      <c r="AA14" s="51">
        <v>26</v>
      </c>
    </row>
    <row r="15" spans="1:29">
      <c r="A15" s="15" t="s">
        <v>47</v>
      </c>
      <c r="B15" s="15" t="s">
        <v>24</v>
      </c>
      <c r="C15" s="15" t="s">
        <v>0</v>
      </c>
      <c r="D15" s="48" t="s">
        <v>1</v>
      </c>
      <c r="E15" s="51" t="s">
        <v>107</v>
      </c>
      <c r="F15" s="51" t="s">
        <v>107</v>
      </c>
      <c r="G15" s="51" t="s">
        <v>108</v>
      </c>
      <c r="H15" s="51" t="s">
        <v>108</v>
      </c>
      <c r="I15" s="51" t="s">
        <v>108</v>
      </c>
      <c r="J15" s="51" t="s">
        <v>108</v>
      </c>
      <c r="K15" s="51" t="s">
        <v>108</v>
      </c>
      <c r="L15" s="51" t="s">
        <v>108</v>
      </c>
      <c r="M15" s="15"/>
      <c r="N15" s="15"/>
      <c r="O15" s="15"/>
      <c r="P15" s="51" t="s">
        <v>108</v>
      </c>
      <c r="Q15" s="15"/>
      <c r="R15" s="15"/>
      <c r="S15" s="15"/>
      <c r="T15" s="51" t="s">
        <v>108</v>
      </c>
      <c r="U15" s="15"/>
      <c r="V15" s="15"/>
      <c r="W15" s="15"/>
      <c r="X15" s="51" t="s">
        <v>108</v>
      </c>
      <c r="Y15" s="15"/>
      <c r="Z15" s="15"/>
      <c r="AA15" s="15"/>
    </row>
    <row r="16" spans="1:29">
      <c r="A16" s="13">
        <v>0</v>
      </c>
      <c r="B16" s="13">
        <v>998.2</v>
      </c>
      <c r="C16" s="13">
        <f>(B16)/1000</f>
        <v>0.99820000000000009</v>
      </c>
      <c r="D16" s="49">
        <f>A16*B16/1000</f>
        <v>0</v>
      </c>
      <c r="E16" s="55">
        <v>1.0020000000000001E-3</v>
      </c>
      <c r="F16" s="56">
        <v>7.9700000000000007E-4</v>
      </c>
      <c r="G16" s="55">
        <f>E16*1000/100</f>
        <v>1.0019999999999999E-2</v>
      </c>
      <c r="H16" s="55">
        <f>F16*1000/100</f>
        <v>7.9699999999999997E-3</v>
      </c>
      <c r="I16" s="55">
        <f>($G16-$H16)/($G$14-$H$14)*($I$14-$H$14)+$H16</f>
        <v>9.1999999999999998E-3</v>
      </c>
      <c r="J16" s="55">
        <f>($G16-$H16)/($G$14-$H$14)*($J$14-$H$14)+$H16</f>
        <v>8.9334999999999987E-3</v>
      </c>
      <c r="K16" s="55">
        <f>($G16-$H16)/($G$14-$H$14)*($K$14-$H$14)+$H16</f>
        <v>8.7899999999999992E-3</v>
      </c>
      <c r="L16" s="55">
        <f>$L$9*D16*D16+$L$10*D16+$L$11</f>
        <v>0.01</v>
      </c>
      <c r="M16" s="55">
        <f>G16-L16</f>
        <v>1.9999999999999185E-5</v>
      </c>
      <c r="N16" s="63">
        <f>M16/G16</f>
        <v>1.9960079840318549E-3</v>
      </c>
      <c r="O16" s="55">
        <f>M16^2*100000</f>
        <v>3.9999999999996737E-5</v>
      </c>
      <c r="P16" s="55">
        <f>$P$9*$D16*$D16+$P$10*$D16+$P$11</f>
        <v>9.1999999999999998E-3</v>
      </c>
      <c r="Q16" s="55">
        <f>I16-P16</f>
        <v>0</v>
      </c>
      <c r="R16" s="63">
        <f>Q16/I16</f>
        <v>0</v>
      </c>
      <c r="S16" s="55">
        <f>Q16^2*100000</f>
        <v>0</v>
      </c>
      <c r="T16" s="56">
        <f>$T$9*$D16*$D16+$T$10*$D16+$T$11</f>
        <v>8.8999999999999999E-3</v>
      </c>
      <c r="U16" s="55">
        <f>J16-T16</f>
        <v>3.3499999999998809E-5</v>
      </c>
      <c r="V16" s="63">
        <f>U16/J16</f>
        <v>3.7499300386185496E-3</v>
      </c>
      <c r="W16" s="55">
        <f>U16^2*100000</f>
        <v>1.1222499999999201E-4</v>
      </c>
      <c r="X16" s="56">
        <f>$X$9*$D16*$D16+$X$10*$D16+$X$11</f>
        <v>8.8000000000000005E-3</v>
      </c>
      <c r="Y16" s="55">
        <f>K16-X16</f>
        <v>-1.0000000000001327E-5</v>
      </c>
      <c r="Z16" s="63">
        <f>Y16/K16</f>
        <v>-1.1376564277589679E-3</v>
      </c>
      <c r="AA16" s="55">
        <f>Y16^2*100000</f>
        <v>1.0000000000002655E-5</v>
      </c>
      <c r="AC16" t="s">
        <v>123</v>
      </c>
    </row>
    <row r="17" spans="1:29">
      <c r="A17" s="13">
        <v>10</v>
      </c>
      <c r="B17" s="13">
        <v>1005.7</v>
      </c>
      <c r="C17" s="13">
        <f t="shared" ref="C17:C28" si="0">(B17)/1000</f>
        <v>1.0057</v>
      </c>
      <c r="D17" s="49">
        <f t="shared" ref="D17:D28" si="1">A17*B17/1000</f>
        <v>10.057</v>
      </c>
      <c r="E17" s="55">
        <v>1.021E-3</v>
      </c>
      <c r="F17" s="56">
        <v>8.1399999999999994E-4</v>
      </c>
      <c r="G17" s="55">
        <f t="shared" ref="G17:H28" si="2">E17*1000/100</f>
        <v>1.0209999999999999E-2</v>
      </c>
      <c r="H17" s="55">
        <f t="shared" si="2"/>
        <v>8.1399999999999997E-3</v>
      </c>
      <c r="I17" s="55">
        <f t="shared" ref="I17:I28" si="3">($G17-$H17)/($G$14-$H$14)*($I$14-$H$14)+$H17</f>
        <v>9.381999999999998E-3</v>
      </c>
      <c r="J17" s="55">
        <f t="shared" ref="J17:J28" si="4">($G17-$H17)/($G$14-$H$14)*($J$14-$H$14)+$H17</f>
        <v>9.1128999999999984E-3</v>
      </c>
      <c r="K17" s="55">
        <f t="shared" ref="K17:K28" si="5">($G17-$H17)/($G$14-$H$14)*($K$14-$H$14)+$H17</f>
        <v>8.9679999999999985E-3</v>
      </c>
      <c r="L17" s="55">
        <f t="shared" ref="L17:L28" si="6">$L$9*D17*D17+$L$10*D17+$L$11</f>
        <v>1.0226788216245E-2</v>
      </c>
      <c r="M17" s="55">
        <f>G17-L17</f>
        <v>-1.6788216245001292E-5</v>
      </c>
      <c r="N17" s="63">
        <f t="shared" ref="N17:N28" si="7">M17/G17</f>
        <v>-1.6442915029384224E-3</v>
      </c>
      <c r="O17" s="55">
        <f t="shared" ref="O17:O28" si="8">M17^2*100000</f>
        <v>2.8184420468892529E-5</v>
      </c>
      <c r="P17" s="55">
        <f t="shared" ref="P17:P28" si="9">$P$9*$D17*$D17+$P$10*$D17+$P$11</f>
        <v>9.4061971624499995E-3</v>
      </c>
      <c r="Q17" s="55">
        <f t="shared" ref="Q17:Q28" si="10">I17-P17</f>
        <v>-2.4197162450001475E-5</v>
      </c>
      <c r="R17" s="63">
        <f t="shared" ref="R17:R28" si="11">Q17/I17</f>
        <v>-2.5791049296526839E-3</v>
      </c>
      <c r="S17" s="55">
        <f t="shared" ref="S17:S28" si="12">Q17^2*100000</f>
        <v>5.8550267063176139E-5</v>
      </c>
      <c r="T17" s="56">
        <f t="shared" ref="T17:T28" si="13">$T$9*$D17*$D17+$T$10*$D17+$T$11</f>
        <v>9.0984377947270004E-3</v>
      </c>
      <c r="U17" s="55">
        <f t="shared" ref="U17:U28" si="14">J17-T17</f>
        <v>1.446220527299806E-5</v>
      </c>
      <c r="V17" s="63">
        <f t="shared" ref="V17:V28" si="15">U17/J17</f>
        <v>1.5870036182771745E-3</v>
      </c>
      <c r="W17" s="55">
        <f t="shared" ref="W17:W28" si="16">U17^2*100000</f>
        <v>2.0915538135833291E-5</v>
      </c>
      <c r="X17" s="56">
        <f t="shared" ref="X17:X28" si="17">$X$9*$D17*$D17+$X$10*$D17+$X$11</f>
        <v>8.9842625839680005E-3</v>
      </c>
      <c r="Y17" s="55">
        <f t="shared" ref="Y17:Y28" si="18">K17-X17</f>
        <v>-1.6262583968001953E-5</v>
      </c>
      <c r="Z17" s="63">
        <f t="shared" ref="Z17:Z28" si="19">Y17/K17</f>
        <v>-1.8134014237290318E-3</v>
      </c>
      <c r="AA17" s="55">
        <f t="shared" ref="AA17:AA28" si="20">Y17^2*100000</f>
        <v>2.6447163731631419E-5</v>
      </c>
      <c r="AC17" t="s">
        <v>121</v>
      </c>
    </row>
    <row r="18" spans="1:29">
      <c r="A18" s="13">
        <v>20</v>
      </c>
      <c r="B18" s="13">
        <v>1013.4</v>
      </c>
      <c r="C18" s="13">
        <f t="shared" si="0"/>
        <v>1.0134000000000001</v>
      </c>
      <c r="D18" s="49">
        <f t="shared" si="1"/>
        <v>20.268000000000001</v>
      </c>
      <c r="E18" s="55">
        <v>1.0429999999999999E-3</v>
      </c>
      <c r="F18" s="56">
        <v>8.3199999999999995E-4</v>
      </c>
      <c r="G18" s="55">
        <f t="shared" si="2"/>
        <v>1.043E-2</v>
      </c>
      <c r="H18" s="55">
        <f t="shared" si="2"/>
        <v>8.3199999999999993E-3</v>
      </c>
      <c r="I18" s="55">
        <f t="shared" si="3"/>
        <v>9.5860000000000008E-3</v>
      </c>
      <c r="J18" s="55">
        <f t="shared" si="4"/>
        <v>9.3116999999999991E-3</v>
      </c>
      <c r="K18" s="55">
        <f t="shared" si="5"/>
        <v>9.1640000000000003E-3</v>
      </c>
      <c r="L18" s="61">
        <f t="shared" si="6"/>
        <v>1.045808395912E-2</v>
      </c>
      <c r="M18" s="55">
        <f t="shared" ref="M18:M28" si="21">G18-L18</f>
        <v>-2.8083959120000362E-5</v>
      </c>
      <c r="N18" s="63">
        <f t="shared" si="7"/>
        <v>-2.6926135302013771E-3</v>
      </c>
      <c r="O18" s="55">
        <f t="shared" si="8"/>
        <v>7.8870875985385163E-5</v>
      </c>
      <c r="P18" s="55">
        <f t="shared" si="9"/>
        <v>9.6258995912000007E-3</v>
      </c>
      <c r="Q18" s="55">
        <f t="shared" si="10"/>
        <v>-3.9899591199999904E-5</v>
      </c>
      <c r="R18" s="63">
        <f t="shared" si="11"/>
        <v>-4.1622774045482896E-3</v>
      </c>
      <c r="S18" s="55">
        <f t="shared" si="12"/>
        <v>1.5919773779271099E-4</v>
      </c>
      <c r="T18" s="56">
        <f t="shared" si="13"/>
        <v>9.304674211952E-3</v>
      </c>
      <c r="U18" s="55">
        <f t="shared" si="14"/>
        <v>7.0257880479991652E-6</v>
      </c>
      <c r="V18" s="63">
        <f t="shared" si="15"/>
        <v>7.5451185583719042E-4</v>
      </c>
      <c r="W18" s="55">
        <f t="shared" si="16"/>
        <v>4.9361697695407918E-6</v>
      </c>
      <c r="X18" s="56">
        <f t="shared" si="17"/>
        <v>9.1779693383680014E-3</v>
      </c>
      <c r="Y18" s="55">
        <f t="shared" si="18"/>
        <v>-1.3969338368001114E-5</v>
      </c>
      <c r="Z18" s="63">
        <f t="shared" si="19"/>
        <v>-1.5243712754256999E-3</v>
      </c>
      <c r="AA18" s="55">
        <f t="shared" si="20"/>
        <v>1.9514241443970801E-5</v>
      </c>
      <c r="AC18" t="s">
        <v>122</v>
      </c>
    </row>
    <row r="19" spans="1:29">
      <c r="A19" s="13">
        <v>30</v>
      </c>
      <c r="B19" s="13">
        <v>1021.1</v>
      </c>
      <c r="C19" s="13">
        <f t="shared" si="0"/>
        <v>1.0211000000000001</v>
      </c>
      <c r="D19" s="49">
        <f t="shared" si="1"/>
        <v>30.632999999999999</v>
      </c>
      <c r="E19" s="55">
        <v>1.065E-3</v>
      </c>
      <c r="F19" s="56">
        <v>8.5099999999999998E-4</v>
      </c>
      <c r="G19" s="55">
        <f t="shared" si="2"/>
        <v>1.065E-2</v>
      </c>
      <c r="H19" s="55">
        <f t="shared" si="2"/>
        <v>8.5100000000000002E-3</v>
      </c>
      <c r="I19" s="55">
        <f t="shared" si="3"/>
        <v>9.7940000000000006E-3</v>
      </c>
      <c r="J19" s="55">
        <f t="shared" si="4"/>
        <v>9.5157999999999996E-3</v>
      </c>
      <c r="K19" s="55">
        <f t="shared" si="5"/>
        <v>9.3659999999999993E-3</v>
      </c>
      <c r="L19" s="55">
        <f t="shared" si="6"/>
        <v>1.0693934403445E-2</v>
      </c>
      <c r="M19" s="55">
        <f t="shared" si="21"/>
        <v>-4.3934403445000311E-5</v>
      </c>
      <c r="N19" s="63">
        <f t="shared" si="7"/>
        <v>-4.1252960981220952E-3</v>
      </c>
      <c r="O19" s="55">
        <f t="shared" si="8"/>
        <v>1.9302318060680551E-4</v>
      </c>
      <c r="P19" s="55">
        <f t="shared" si="9"/>
        <v>9.8595790344500004E-3</v>
      </c>
      <c r="Q19" s="55">
        <f t="shared" si="10"/>
        <v>-6.5579034449999782E-5</v>
      </c>
      <c r="R19" s="63">
        <f t="shared" si="11"/>
        <v>-6.6958377016540513E-3</v>
      </c>
      <c r="S19" s="55">
        <f t="shared" si="12"/>
        <v>4.3006097593942586E-4</v>
      </c>
      <c r="T19" s="56">
        <f t="shared" si="13"/>
        <v>9.5189262558470003E-3</v>
      </c>
      <c r="U19" s="55">
        <f t="shared" si="14"/>
        <v>-3.1262558470007001E-6</v>
      </c>
      <c r="V19" s="63">
        <f t="shared" si="15"/>
        <v>-3.2853316032290506E-4</v>
      </c>
      <c r="W19" s="55">
        <f t="shared" si="16"/>
        <v>9.7734756209060637E-7</v>
      </c>
      <c r="X19" s="56">
        <f t="shared" si="17"/>
        <v>9.3814221820480003E-3</v>
      </c>
      <c r="Y19" s="55">
        <f t="shared" si="18"/>
        <v>-1.5422182048000985E-5</v>
      </c>
      <c r="Z19" s="63">
        <f t="shared" si="19"/>
        <v>-1.6466135007474894E-3</v>
      </c>
      <c r="AA19" s="55">
        <f t="shared" si="20"/>
        <v>2.3784369912168382E-5</v>
      </c>
    </row>
    <row r="20" spans="1:29">
      <c r="A20" s="13">
        <v>40</v>
      </c>
      <c r="B20" s="13">
        <v>1028.8</v>
      </c>
      <c r="C20" s="13">
        <f t="shared" si="0"/>
        <v>1.0287999999999999</v>
      </c>
      <c r="D20" s="49">
        <f t="shared" si="1"/>
        <v>41.152000000000001</v>
      </c>
      <c r="E20" s="55">
        <v>1.0889999999999999E-3</v>
      </c>
      <c r="F20" s="56">
        <v>8.7100000000000003E-4</v>
      </c>
      <c r="G20" s="55">
        <f t="shared" si="2"/>
        <v>1.089E-2</v>
      </c>
      <c r="H20" s="55">
        <f t="shared" si="2"/>
        <v>8.7100000000000007E-3</v>
      </c>
      <c r="I20" s="55">
        <f t="shared" si="3"/>
        <v>1.0018000000000001E-2</v>
      </c>
      <c r="J20" s="55">
        <f t="shared" si="4"/>
        <v>9.7345999999999995E-3</v>
      </c>
      <c r="K20" s="55">
        <f t="shared" si="5"/>
        <v>9.5820000000000002E-3</v>
      </c>
      <c r="L20" s="55">
        <f t="shared" si="6"/>
        <v>1.0934387435520001E-2</v>
      </c>
      <c r="M20" s="55">
        <f t="shared" si="21"/>
        <v>-4.4387435520000171E-5</v>
      </c>
      <c r="N20" s="63">
        <f t="shared" si="7"/>
        <v>-4.0759812231405115E-3</v>
      </c>
      <c r="O20" s="55">
        <f t="shared" si="8"/>
        <v>1.9702444320421729E-4</v>
      </c>
      <c r="P20" s="55">
        <f t="shared" si="9"/>
        <v>1.01077143552E-2</v>
      </c>
      <c r="Q20" s="55">
        <f t="shared" si="10"/>
        <v>-8.9714355199999041E-5</v>
      </c>
      <c r="R20" s="63">
        <f t="shared" si="11"/>
        <v>-8.9553159512875853E-3</v>
      </c>
      <c r="S20" s="55">
        <f t="shared" si="12"/>
        <v>8.0486655289515956E-4</v>
      </c>
      <c r="T20" s="56">
        <f t="shared" si="13"/>
        <v>9.7414142033919997E-3</v>
      </c>
      <c r="U20" s="55">
        <f t="shared" si="14"/>
        <v>-6.8142033920002426E-6</v>
      </c>
      <c r="V20" s="63">
        <f t="shared" si="15"/>
        <v>-6.999982939206791E-4</v>
      </c>
      <c r="W20" s="55">
        <f t="shared" si="16"/>
        <v>4.6433367867547617E-6</v>
      </c>
      <c r="X20" s="56">
        <f t="shared" si="17"/>
        <v>9.5949275873280001E-3</v>
      </c>
      <c r="Y20" s="55">
        <f t="shared" si="18"/>
        <v>-1.2927587327999854E-5</v>
      </c>
      <c r="Z20" s="63">
        <f t="shared" si="19"/>
        <v>-1.3491533425172046E-3</v>
      </c>
      <c r="AA20" s="55">
        <f t="shared" si="20"/>
        <v>1.6712251412306242E-5</v>
      </c>
      <c r="AC20" s="58" t="s">
        <v>124</v>
      </c>
    </row>
    <row r="21" spans="1:29">
      <c r="A21" s="13">
        <v>50</v>
      </c>
      <c r="B21" s="13">
        <v>1036.5</v>
      </c>
      <c r="C21" s="13">
        <f t="shared" si="0"/>
        <v>1.0365</v>
      </c>
      <c r="D21" s="49">
        <f t="shared" si="1"/>
        <v>51.825000000000003</v>
      </c>
      <c r="E21" s="55">
        <v>1.1140000000000002E-3</v>
      </c>
      <c r="F21" s="56">
        <v>8.9099999999999997E-4</v>
      </c>
      <c r="G21" s="55">
        <f t="shared" si="2"/>
        <v>1.1140000000000001E-2</v>
      </c>
      <c r="H21" s="55">
        <f t="shared" si="2"/>
        <v>8.9099999999999995E-3</v>
      </c>
      <c r="I21" s="55">
        <f t="shared" si="3"/>
        <v>1.0248E-2</v>
      </c>
      <c r="J21" s="55">
        <f t="shared" si="4"/>
        <v>9.9580999999999992E-3</v>
      </c>
      <c r="K21" s="55">
        <f t="shared" si="5"/>
        <v>9.8019999999999999E-3</v>
      </c>
      <c r="L21" s="55">
        <f t="shared" si="6"/>
        <v>1.1179491653125E-2</v>
      </c>
      <c r="M21" s="55">
        <f t="shared" si="21"/>
        <v>-3.9491653124999401E-5</v>
      </c>
      <c r="N21" s="63">
        <f t="shared" si="7"/>
        <v>-3.5450316988329803E-3</v>
      </c>
      <c r="O21" s="55">
        <f t="shared" si="8"/>
        <v>1.5595906665452752E-4</v>
      </c>
      <c r="P21" s="55">
        <f t="shared" si="9"/>
        <v>1.037079153125E-2</v>
      </c>
      <c r="Q21" s="55">
        <f t="shared" si="10"/>
        <v>-1.2279153124999942E-4</v>
      </c>
      <c r="R21" s="63">
        <f t="shared" si="11"/>
        <v>-1.1981999536494869E-2</v>
      </c>
      <c r="S21" s="55">
        <f t="shared" si="12"/>
        <v>1.5077760146719583E-3</v>
      </c>
      <c r="T21" s="56">
        <f t="shared" si="13"/>
        <v>9.9723616043750005E-3</v>
      </c>
      <c r="U21" s="55">
        <f t="shared" si="14"/>
        <v>-1.4261604375001222E-5</v>
      </c>
      <c r="V21" s="63">
        <f t="shared" si="15"/>
        <v>-1.4321611928983665E-3</v>
      </c>
      <c r="W21" s="55">
        <f t="shared" si="16"/>
        <v>2.0339335934905401E-5</v>
      </c>
      <c r="X21" s="56">
        <f t="shared" si="17"/>
        <v>9.8187965800000006E-3</v>
      </c>
      <c r="Y21" s="55">
        <f t="shared" si="18"/>
        <v>-1.679658000000063E-5</v>
      </c>
      <c r="Z21" s="63">
        <f t="shared" si="19"/>
        <v>-1.7135870230565833E-3</v>
      </c>
      <c r="AA21" s="55">
        <f t="shared" si="20"/>
        <v>2.8212509969642118E-5</v>
      </c>
    </row>
    <row r="22" spans="1:29">
      <c r="A22" s="13">
        <v>60</v>
      </c>
      <c r="B22" s="13">
        <v>1044.0999999999999</v>
      </c>
      <c r="C22" s="13">
        <f t="shared" si="0"/>
        <v>1.0440999999999998</v>
      </c>
      <c r="D22" s="49">
        <f t="shared" si="1"/>
        <v>62.645999999999994</v>
      </c>
      <c r="E22" s="55">
        <v>1.14E-3</v>
      </c>
      <c r="F22" s="56">
        <v>9.1300000000000007E-4</v>
      </c>
      <c r="G22" s="55">
        <f t="shared" si="2"/>
        <v>1.1399999999999999E-2</v>
      </c>
      <c r="H22" s="55">
        <f t="shared" si="2"/>
        <v>9.130000000000001E-3</v>
      </c>
      <c r="I22" s="55">
        <f t="shared" si="3"/>
        <v>1.0492E-2</v>
      </c>
      <c r="J22" s="55">
        <f t="shared" si="4"/>
        <v>1.01969E-2</v>
      </c>
      <c r="K22" s="55">
        <f t="shared" si="5"/>
        <v>1.0038E-2</v>
      </c>
      <c r="L22" s="55">
        <f t="shared" si="6"/>
        <v>1.142915760658E-2</v>
      </c>
      <c r="M22" s="55">
        <f t="shared" si="21"/>
        <v>-2.9157606580001647E-5</v>
      </c>
      <c r="N22" s="63">
        <f t="shared" si="7"/>
        <v>-2.5576847877194428E-3</v>
      </c>
      <c r="O22" s="55">
        <f t="shared" si="8"/>
        <v>8.5016602147415534E-5</v>
      </c>
      <c r="P22" s="55">
        <f t="shared" si="9"/>
        <v>1.0649146065799999E-2</v>
      </c>
      <c r="Q22" s="55">
        <f t="shared" si="10"/>
        <v>-1.571460657999995E-4</v>
      </c>
      <c r="R22" s="63">
        <f t="shared" si="11"/>
        <v>-1.4977703564620616E-2</v>
      </c>
      <c r="S22" s="55">
        <f t="shared" si="12"/>
        <v>2.4694885996417774E-3</v>
      </c>
      <c r="T22" s="56">
        <f t="shared" si="13"/>
        <v>1.0211860990267999E-2</v>
      </c>
      <c r="U22" s="55">
        <f t="shared" si="14"/>
        <v>-1.4960990267999172E-5</v>
      </c>
      <c r="V22" s="63">
        <f t="shared" si="15"/>
        <v>-1.4672096684285589E-3</v>
      </c>
      <c r="W22" s="55">
        <f t="shared" si="16"/>
        <v>2.2383122979916593E-5</v>
      </c>
      <c r="X22" s="56">
        <f t="shared" si="17"/>
        <v>1.0053212682112001E-2</v>
      </c>
      <c r="Y22" s="55">
        <f t="shared" si="18"/>
        <v>-1.5212682112001122E-5</v>
      </c>
      <c r="Z22" s="63">
        <f t="shared" si="19"/>
        <v>-1.5155092759514964E-3</v>
      </c>
      <c r="AA22" s="55">
        <f t="shared" si="20"/>
        <v>2.3142569704079891E-5</v>
      </c>
    </row>
    <row r="23" spans="1:29">
      <c r="A23" s="13">
        <v>70</v>
      </c>
      <c r="B23" s="13">
        <v>1051.8</v>
      </c>
      <c r="C23" s="13">
        <f t="shared" si="0"/>
        <v>1.0517999999999998</v>
      </c>
      <c r="D23" s="49">
        <f t="shared" si="1"/>
        <v>73.626000000000005</v>
      </c>
      <c r="E23" s="55">
        <v>1.168E-3</v>
      </c>
      <c r="F23" s="56">
        <v>9.3600000000000009E-4</v>
      </c>
      <c r="G23" s="55">
        <f t="shared" si="2"/>
        <v>1.1679999999999999E-2</v>
      </c>
      <c r="H23" s="55">
        <f t="shared" si="2"/>
        <v>9.3600000000000003E-3</v>
      </c>
      <c r="I23" s="55">
        <f t="shared" si="3"/>
        <v>1.0751999999999999E-2</v>
      </c>
      <c r="J23" s="55">
        <f t="shared" si="4"/>
        <v>1.04504E-2</v>
      </c>
      <c r="K23" s="55">
        <f t="shared" si="5"/>
        <v>1.0288E-2</v>
      </c>
      <c r="L23" s="55">
        <f t="shared" si="6"/>
        <v>1.168368893938E-2</v>
      </c>
      <c r="M23" s="55">
        <f t="shared" si="21"/>
        <v>-3.6889393800008247E-6</v>
      </c>
      <c r="N23" s="63">
        <f t="shared" si="7"/>
        <v>-3.1583385102746791E-4</v>
      </c>
      <c r="O23" s="55">
        <f t="shared" si="8"/>
        <v>1.3608273749320869E-6</v>
      </c>
      <c r="P23" s="55">
        <f t="shared" si="9"/>
        <v>1.09435593938E-2</v>
      </c>
      <c r="Q23" s="55">
        <f t="shared" si="10"/>
        <v>-1.9155939380000042E-4</v>
      </c>
      <c r="R23" s="63">
        <f t="shared" si="11"/>
        <v>-1.7816163857886945E-2</v>
      </c>
      <c r="S23" s="55">
        <f t="shared" si="12"/>
        <v>3.6695001353023639E-3</v>
      </c>
      <c r="T23" s="56">
        <f t="shared" si="13"/>
        <v>1.0460385121148E-2</v>
      </c>
      <c r="U23" s="55">
        <f t="shared" si="14"/>
        <v>-9.9851211480001673E-6</v>
      </c>
      <c r="V23" s="63">
        <f t="shared" si="15"/>
        <v>-9.5547741215648845E-4</v>
      </c>
      <c r="W23" s="55">
        <f t="shared" si="16"/>
        <v>9.9702644340240172E-6</v>
      </c>
      <c r="X23" s="56">
        <f t="shared" si="17"/>
        <v>1.0298733212032E-2</v>
      </c>
      <c r="Y23" s="55">
        <f t="shared" si="18"/>
        <v>-1.0733212032000214E-5</v>
      </c>
      <c r="Z23" s="63">
        <f t="shared" si="19"/>
        <v>-1.0432748864696942E-3</v>
      </c>
      <c r="AA23" s="55">
        <f t="shared" si="20"/>
        <v>1.1520184052387417E-5</v>
      </c>
      <c r="AC23" t="s">
        <v>125</v>
      </c>
    </row>
    <row r="24" spans="1:29">
      <c r="A24" s="13">
        <v>80</v>
      </c>
      <c r="B24" s="13">
        <v>1059.5</v>
      </c>
      <c r="C24" s="13">
        <f t="shared" si="0"/>
        <v>1.0595000000000001</v>
      </c>
      <c r="D24" s="49">
        <f t="shared" si="1"/>
        <v>84.76</v>
      </c>
      <c r="E24" s="55">
        <v>1.1970000000000001E-3</v>
      </c>
      <c r="F24" s="56">
        <v>9.5999999999999992E-4</v>
      </c>
      <c r="G24" s="55">
        <f t="shared" si="2"/>
        <v>1.1970000000000001E-2</v>
      </c>
      <c r="H24" s="55">
        <f t="shared" si="2"/>
        <v>9.5999999999999992E-3</v>
      </c>
      <c r="I24" s="55">
        <f t="shared" si="3"/>
        <v>1.1022000000000001E-2</v>
      </c>
      <c r="J24" s="55">
        <f t="shared" si="4"/>
        <v>1.07139E-2</v>
      </c>
      <c r="K24" s="55">
        <f t="shared" si="5"/>
        <v>1.0548E-2</v>
      </c>
      <c r="L24" s="55">
        <f t="shared" si="6"/>
        <v>1.1943021288E-2</v>
      </c>
      <c r="M24" s="55">
        <f t="shared" si="21"/>
        <v>2.6978712000001043E-5</v>
      </c>
      <c r="N24" s="63">
        <f t="shared" si="7"/>
        <v>2.2538606516291594E-3</v>
      </c>
      <c r="O24" s="55">
        <f t="shared" si="8"/>
        <v>7.2785090117900028E-5</v>
      </c>
      <c r="P24" s="55">
        <f t="shared" si="9"/>
        <v>1.125441288E-2</v>
      </c>
      <c r="Q24" s="55">
        <f t="shared" si="10"/>
        <v>-2.324128799999995E-4</v>
      </c>
      <c r="R24" s="63">
        <f t="shared" si="11"/>
        <v>-2.1086271094175241E-2</v>
      </c>
      <c r="S24" s="55">
        <f t="shared" si="12"/>
        <v>5.4015746789894169E-3</v>
      </c>
      <c r="T24" s="56">
        <f t="shared" si="13"/>
        <v>1.07180579248E-2</v>
      </c>
      <c r="U24" s="55">
        <f t="shared" si="14"/>
        <v>-4.1579247999998931E-6</v>
      </c>
      <c r="V24" s="63">
        <f t="shared" si="15"/>
        <v>-3.8808695246361205E-4</v>
      </c>
      <c r="W24" s="55">
        <f t="shared" si="16"/>
        <v>1.728833864245415E-6</v>
      </c>
      <c r="X24" s="56">
        <f t="shared" si="17"/>
        <v>1.0555576243200001E-2</v>
      </c>
      <c r="Y24" s="55">
        <f t="shared" si="18"/>
        <v>-7.5762432000005264E-6</v>
      </c>
      <c r="Z24" s="63">
        <f t="shared" si="19"/>
        <v>-7.1826348122871889E-4</v>
      </c>
      <c r="AA24" s="55">
        <f t="shared" si="20"/>
        <v>5.739946102555422E-6</v>
      </c>
    </row>
    <row r="25" spans="1:29">
      <c r="A25" s="13">
        <v>90</v>
      </c>
      <c r="B25" s="13">
        <v>1067.2</v>
      </c>
      <c r="C25" s="13">
        <f t="shared" si="0"/>
        <v>1.0672000000000001</v>
      </c>
      <c r="D25" s="49">
        <f t="shared" si="1"/>
        <v>96.048000000000002</v>
      </c>
      <c r="E25" s="55">
        <v>1.227E-3</v>
      </c>
      <c r="F25" s="56">
        <v>9.8400000000000007E-4</v>
      </c>
      <c r="G25" s="55">
        <f t="shared" si="2"/>
        <v>1.2270000000000001E-2</v>
      </c>
      <c r="H25" s="55">
        <f t="shared" si="2"/>
        <v>9.8400000000000015E-3</v>
      </c>
      <c r="I25" s="55">
        <f t="shared" si="3"/>
        <v>1.1298000000000002E-2</v>
      </c>
      <c r="J25" s="55">
        <f t="shared" si="4"/>
        <v>1.0982100000000002E-2</v>
      </c>
      <c r="K25" s="55">
        <f t="shared" si="5"/>
        <v>1.0812000000000002E-2</v>
      </c>
      <c r="L25" s="55">
        <f t="shared" si="6"/>
        <v>1.220720609152E-2</v>
      </c>
      <c r="M25" s="55">
        <f t="shared" si="21"/>
        <v>6.279390848000152E-5</v>
      </c>
      <c r="N25" s="63">
        <f t="shared" si="7"/>
        <v>5.11767795273036E-3</v>
      </c>
      <c r="O25" s="55">
        <f t="shared" si="8"/>
        <v>3.9430749421948065E-4</v>
      </c>
      <c r="P25" s="55">
        <f t="shared" si="9"/>
        <v>1.15822209152E-2</v>
      </c>
      <c r="Q25" s="55">
        <f t="shared" si="10"/>
        <v>-2.8422091519999734E-4</v>
      </c>
      <c r="R25" s="63">
        <f t="shared" si="11"/>
        <v>-2.5156745901929303E-2</v>
      </c>
      <c r="S25" s="55">
        <f t="shared" si="12"/>
        <v>8.0781528637124088E-3</v>
      </c>
      <c r="T25" s="56">
        <f t="shared" si="13"/>
        <v>1.0985116020991999E-2</v>
      </c>
      <c r="U25" s="55">
        <f t="shared" si="14"/>
        <v>-3.0160209919978531E-6</v>
      </c>
      <c r="V25" s="63">
        <f t="shared" si="15"/>
        <v>-2.7463062547216402E-4</v>
      </c>
      <c r="W25" s="55">
        <f t="shared" si="16"/>
        <v>9.0963826241717138E-7</v>
      </c>
      <c r="X25" s="56">
        <f t="shared" si="17"/>
        <v>1.0824070985728001E-2</v>
      </c>
      <c r="Y25" s="55">
        <f t="shared" si="18"/>
        <v>-1.2070985727998668E-5</v>
      </c>
      <c r="Z25" s="63">
        <f t="shared" si="19"/>
        <v>-1.1164433710690589E-3</v>
      </c>
      <c r="AA25" s="55">
        <f t="shared" si="20"/>
        <v>1.4570869644554752E-5</v>
      </c>
    </row>
    <row r="26" spans="1:29">
      <c r="A26" s="13">
        <v>100</v>
      </c>
      <c r="B26" s="13">
        <v>1074.9000000000001</v>
      </c>
      <c r="C26" s="13">
        <f t="shared" si="0"/>
        <v>1.0749000000000002</v>
      </c>
      <c r="D26" s="49">
        <f t="shared" si="1"/>
        <v>107.49000000000001</v>
      </c>
      <c r="E26" s="55">
        <v>1.2589999999999999E-3</v>
      </c>
      <c r="F26" s="56">
        <v>1.01E-3</v>
      </c>
      <c r="G26" s="55">
        <f t="shared" si="2"/>
        <v>1.2589999999999999E-2</v>
      </c>
      <c r="H26" s="55">
        <f t="shared" si="2"/>
        <v>1.01E-2</v>
      </c>
      <c r="I26" s="55">
        <f t="shared" si="3"/>
        <v>1.1594E-2</v>
      </c>
      <c r="J26" s="55">
        <f t="shared" si="4"/>
        <v>1.1270299999999999E-2</v>
      </c>
      <c r="K26" s="55">
        <f t="shared" si="5"/>
        <v>1.1096E-2</v>
      </c>
      <c r="L26" s="55">
        <f t="shared" si="6"/>
        <v>1.2476295500500001E-2</v>
      </c>
      <c r="M26" s="55">
        <f t="shared" si="21"/>
        <v>1.1370449949999785E-4</v>
      </c>
      <c r="N26" s="63">
        <f t="shared" si="7"/>
        <v>9.0313343526606717E-3</v>
      </c>
      <c r="O26" s="55">
        <f t="shared" si="8"/>
        <v>1.2928713206545011E-3</v>
      </c>
      <c r="P26" s="55">
        <f t="shared" si="9"/>
        <v>1.1927505005E-2</v>
      </c>
      <c r="Q26" s="55">
        <f t="shared" si="10"/>
        <v>-3.3350500499999998E-4</v>
      </c>
      <c r="R26" s="63">
        <f t="shared" si="11"/>
        <v>-2.8765310074176296E-2</v>
      </c>
      <c r="S26" s="55">
        <f t="shared" si="12"/>
        <v>1.1122558836005001E-2</v>
      </c>
      <c r="T26" s="56">
        <f t="shared" si="13"/>
        <v>1.12617993023E-2</v>
      </c>
      <c r="U26" s="55">
        <f t="shared" si="14"/>
        <v>8.5006976999982969E-6</v>
      </c>
      <c r="V26" s="63">
        <f t="shared" si="15"/>
        <v>7.5425655927511225E-4</v>
      </c>
      <c r="W26" s="55">
        <f t="shared" si="16"/>
        <v>7.2261861386756331E-6</v>
      </c>
      <c r="X26" s="56">
        <f t="shared" si="17"/>
        <v>1.1104551203200001E-2</v>
      </c>
      <c r="Y26" s="55">
        <f t="shared" si="18"/>
        <v>-8.5512032000009675E-6</v>
      </c>
      <c r="Z26" s="63">
        <f t="shared" si="19"/>
        <v>-7.7065638067780893E-4</v>
      </c>
      <c r="AA26" s="55">
        <f t="shared" si="20"/>
        <v>7.3123076167706788E-6</v>
      </c>
      <c r="AC26" t="s">
        <v>129</v>
      </c>
    </row>
    <row r="27" spans="1:29">
      <c r="A27" s="13">
        <v>110</v>
      </c>
      <c r="B27" s="13">
        <v>1082.5999999999999</v>
      </c>
      <c r="C27" s="13">
        <f t="shared" si="0"/>
        <v>1.0826</v>
      </c>
      <c r="D27" s="49">
        <f t="shared" si="1"/>
        <v>119.08599999999998</v>
      </c>
      <c r="E27" s="55">
        <v>1.292E-3</v>
      </c>
      <c r="F27" s="56">
        <v>1.0369999999999999E-3</v>
      </c>
      <c r="G27" s="55">
        <f t="shared" si="2"/>
        <v>1.2920000000000001E-2</v>
      </c>
      <c r="H27" s="55">
        <f t="shared" si="2"/>
        <v>1.0369999999999999E-2</v>
      </c>
      <c r="I27" s="55">
        <f t="shared" si="3"/>
        <v>1.1900000000000001E-2</v>
      </c>
      <c r="J27" s="55">
        <f t="shared" si="4"/>
        <v>1.1568499999999999E-2</v>
      </c>
      <c r="K27" s="55">
        <f t="shared" si="5"/>
        <v>1.1389999999999999E-2</v>
      </c>
      <c r="L27" s="55">
        <f t="shared" si="6"/>
        <v>1.2750342376980001E-2</v>
      </c>
      <c r="M27" s="55">
        <f t="shared" si="21"/>
        <v>1.6965762302000031E-4</v>
      </c>
      <c r="N27" s="63">
        <f t="shared" si="7"/>
        <v>1.3131394970588258E-2</v>
      </c>
      <c r="O27" s="55">
        <f t="shared" si="8"/>
        <v>2.8783709048796542E-3</v>
      </c>
      <c r="P27" s="55">
        <f t="shared" si="9"/>
        <v>1.2290793769799999E-2</v>
      </c>
      <c r="Q27" s="55">
        <f t="shared" si="10"/>
        <v>-3.9079376979999844E-4</v>
      </c>
      <c r="R27" s="63">
        <f t="shared" si="11"/>
        <v>-3.2839812588235158E-2</v>
      </c>
      <c r="S27" s="55">
        <f t="shared" si="12"/>
        <v>1.5271977051449418E-2</v>
      </c>
      <c r="T27" s="56">
        <f t="shared" si="13"/>
        <v>1.1548350934108E-2</v>
      </c>
      <c r="U27" s="55">
        <f t="shared" si="14"/>
        <v>2.014906589199901E-5</v>
      </c>
      <c r="V27" s="63">
        <f t="shared" si="15"/>
        <v>1.7417181045078457E-3</v>
      </c>
      <c r="W27" s="55">
        <f t="shared" si="16"/>
        <v>4.0598485632011784E-5</v>
      </c>
      <c r="X27" s="56">
        <f t="shared" si="17"/>
        <v>1.1397355212671999E-2</v>
      </c>
      <c r="Y27" s="55">
        <f t="shared" si="18"/>
        <v>-7.355212672000358E-6</v>
      </c>
      <c r="Z27" s="63">
        <f t="shared" si="19"/>
        <v>-6.4576055065850382E-4</v>
      </c>
      <c r="AA27" s="55">
        <f t="shared" si="20"/>
        <v>5.409915345035465E-6</v>
      </c>
    </row>
    <row r="28" spans="1:29">
      <c r="A28" s="13">
        <v>120</v>
      </c>
      <c r="B28" s="14">
        <v>1090.3</v>
      </c>
      <c r="C28" s="13">
        <f t="shared" si="0"/>
        <v>1.0903</v>
      </c>
      <c r="D28" s="49">
        <f t="shared" si="1"/>
        <v>130.83600000000001</v>
      </c>
      <c r="E28" s="55">
        <v>1.3260000000000001E-3</v>
      </c>
      <c r="F28" s="56">
        <v>1.0640000000000001E-3</v>
      </c>
      <c r="G28" s="55">
        <f t="shared" si="2"/>
        <v>1.3260000000000001E-2</v>
      </c>
      <c r="H28" s="55">
        <f t="shared" si="2"/>
        <v>1.064E-2</v>
      </c>
      <c r="I28" s="55">
        <f t="shared" si="3"/>
        <v>1.2212000000000001E-2</v>
      </c>
      <c r="J28" s="55">
        <f t="shared" si="4"/>
        <v>1.1871400000000001E-2</v>
      </c>
      <c r="K28" s="55">
        <f t="shared" si="5"/>
        <v>1.1688E-2</v>
      </c>
      <c r="L28" s="55">
        <f t="shared" si="6"/>
        <v>1.3029400294479999E-2</v>
      </c>
      <c r="M28" s="55">
        <f t="shared" si="21"/>
        <v>2.3059970552000153E-4</v>
      </c>
      <c r="N28" s="63">
        <f t="shared" si="7"/>
        <v>1.7390626358974474E-2</v>
      </c>
      <c r="O28" s="55">
        <f t="shared" si="8"/>
        <v>5.3176224185911419E-3</v>
      </c>
      <c r="P28" s="55">
        <f t="shared" si="9"/>
        <v>1.26726229448E-2</v>
      </c>
      <c r="Q28" s="55">
        <f t="shared" si="10"/>
        <v>-4.6062294479999946E-4</v>
      </c>
      <c r="R28" s="63">
        <f t="shared" si="11"/>
        <v>-3.7718878545692718E-2</v>
      </c>
      <c r="S28" s="55">
        <f t="shared" si="12"/>
        <v>2.1217349727622334E-2</v>
      </c>
      <c r="T28" s="56">
        <f t="shared" si="13"/>
        <v>1.1845017354608E-2</v>
      </c>
      <c r="U28" s="55">
        <f t="shared" si="14"/>
        <v>2.6382645392000401E-5</v>
      </c>
      <c r="V28" s="63">
        <f t="shared" si="15"/>
        <v>2.2223701831292349E-3</v>
      </c>
      <c r="W28" s="55">
        <f t="shared" si="16"/>
        <v>6.9604397788003999E-5</v>
      </c>
      <c r="X28" s="56">
        <f t="shared" si="17"/>
        <v>1.1702825884672001E-2</v>
      </c>
      <c r="Y28" s="55">
        <f t="shared" si="18"/>
        <v>-1.4825884672000147E-5</v>
      </c>
      <c r="Z28" s="63">
        <f t="shared" si="19"/>
        <v>-1.2684706255989173E-3</v>
      </c>
      <c r="AA28" s="55">
        <f t="shared" si="20"/>
        <v>2.1980685630744894E-5</v>
      </c>
    </row>
    <row r="29" spans="1:29">
      <c r="M29" t="s">
        <v>115</v>
      </c>
      <c r="O29" s="57">
        <f>SUM(O16:O28)</f>
        <v>1.0735396644904849E-2</v>
      </c>
      <c r="Q29" s="55" t="s">
        <v>115</v>
      </c>
      <c r="R29" s="62"/>
      <c r="S29" s="57">
        <f>SUM(S16:S28)</f>
        <v>7.0191053441085144E-2</v>
      </c>
      <c r="U29" s="55" t="s">
        <v>115</v>
      </c>
      <c r="V29" s="62"/>
      <c r="W29" s="57">
        <f>SUM(W16:W28)</f>
        <v>3.1645765728841149E-4</v>
      </c>
      <c r="Y29" s="55" t="s">
        <v>115</v>
      </c>
      <c r="Z29" s="62"/>
      <c r="AA29" s="57">
        <f>SUM(AA16:AA28)</f>
        <v>2.1434701456585014E-4</v>
      </c>
      <c r="AC29" t="s">
        <v>126</v>
      </c>
    </row>
  </sheetData>
  <mergeCells count="4">
    <mergeCell ref="E13:H13"/>
    <mergeCell ref="I13:K13"/>
    <mergeCell ref="E12:K12"/>
    <mergeCell ref="L12:AA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5"/>
  <sheetViews>
    <sheetView topLeftCell="C1" workbookViewId="0">
      <pane xSplit="18705" topLeftCell="U1"/>
      <selection activeCell="H2" sqref="H2"/>
      <selection pane="topRight" activeCell="U15" sqref="U15"/>
    </sheetView>
  </sheetViews>
  <sheetFormatPr defaultColWidth="8" defaultRowHeight="12.75"/>
  <cols>
    <col min="1" max="1" width="18.75" style="17" customWidth="1"/>
    <col min="2" max="4" width="8.375" style="17" customWidth="1"/>
    <col min="5" max="7" width="8" style="17"/>
    <col min="8" max="8" width="10.625" style="17" customWidth="1"/>
    <col min="9" max="9" width="8" style="17"/>
    <col min="10" max="10" width="10.125" style="17" bestFit="1" customWidth="1"/>
    <col min="11" max="12" width="8" style="17"/>
    <col min="13" max="13" width="10.125" style="17" bestFit="1" customWidth="1"/>
    <col min="14" max="14" width="8" style="17" customWidth="1"/>
    <col min="15" max="16384" width="8" style="17"/>
  </cols>
  <sheetData>
    <row r="1" spans="1:15">
      <c r="A1" s="28" t="s">
        <v>97</v>
      </c>
      <c r="G1" s="29"/>
      <c r="H1" s="30" t="s">
        <v>79</v>
      </c>
      <c r="I1" s="31">
        <v>-1.8923024699484802E-6</v>
      </c>
      <c r="J1" s="31"/>
      <c r="K1" s="32"/>
      <c r="L1" s="32" t="s">
        <v>80</v>
      </c>
      <c r="M1" s="39">
        <v>-2.9152970370447677E-7</v>
      </c>
    </row>
    <row r="2" spans="1:15">
      <c r="A2" s="18"/>
      <c r="G2" s="29"/>
      <c r="H2" s="30" t="s">
        <v>111</v>
      </c>
      <c r="I2" s="29">
        <v>-1.4144780680844129E-3</v>
      </c>
      <c r="J2" s="29"/>
      <c r="L2" s="52" t="s">
        <v>111</v>
      </c>
      <c r="M2" s="39">
        <v>7.1935941586597765E-4</v>
      </c>
    </row>
    <row r="3" spans="1:15">
      <c r="A3" s="18"/>
      <c r="G3" s="29"/>
      <c r="H3" s="29"/>
      <c r="I3" s="29">
        <v>3.3056569510490843</v>
      </c>
      <c r="J3" s="29"/>
      <c r="M3" s="39">
        <v>0.99816816803224784</v>
      </c>
    </row>
    <row r="4" spans="1:15">
      <c r="A4" s="18"/>
      <c r="C4" s="33" t="s">
        <v>81</v>
      </c>
      <c r="D4" s="33"/>
      <c r="E4" s="17">
        <v>3.35</v>
      </c>
      <c r="F4" s="18" t="s">
        <v>68</v>
      </c>
      <c r="G4" s="64" t="s">
        <v>82</v>
      </c>
      <c r="H4" s="64"/>
      <c r="I4" s="64"/>
      <c r="J4" s="64"/>
      <c r="K4" s="64"/>
      <c r="L4" s="40"/>
      <c r="M4" s="65" t="s">
        <v>83</v>
      </c>
      <c r="N4" s="65"/>
      <c r="O4" s="41"/>
    </row>
    <row r="5" spans="1:15">
      <c r="C5" s="34" t="s">
        <v>84</v>
      </c>
      <c r="D5" s="34"/>
      <c r="E5" s="34"/>
      <c r="F5" s="34"/>
      <c r="G5" s="66" t="s">
        <v>85</v>
      </c>
      <c r="H5" s="66"/>
      <c r="I5" s="66"/>
      <c r="J5" s="66" t="s">
        <v>86</v>
      </c>
      <c r="K5" s="66"/>
      <c r="L5" s="42"/>
      <c r="M5" s="67" t="s">
        <v>84</v>
      </c>
      <c r="N5" s="67"/>
      <c r="O5" s="43"/>
    </row>
    <row r="6" spans="1:15">
      <c r="A6" s="17" t="s">
        <v>63</v>
      </c>
      <c r="B6" s="18" t="s">
        <v>64</v>
      </c>
      <c r="C6" s="19" t="s">
        <v>65</v>
      </c>
      <c r="D6" s="19" t="s">
        <v>65</v>
      </c>
      <c r="E6" s="19" t="s">
        <v>87</v>
      </c>
      <c r="F6" s="19" t="s">
        <v>88</v>
      </c>
      <c r="G6" s="19" t="s">
        <v>89</v>
      </c>
      <c r="H6" s="19" t="s">
        <v>90</v>
      </c>
      <c r="I6" s="19" t="s">
        <v>91</v>
      </c>
      <c r="J6" s="19" t="s">
        <v>87</v>
      </c>
      <c r="K6" s="19" t="s">
        <v>92</v>
      </c>
      <c r="L6" s="19" t="s">
        <v>98</v>
      </c>
      <c r="M6" s="19" t="s">
        <v>87</v>
      </c>
      <c r="N6" s="19" t="s">
        <v>92</v>
      </c>
      <c r="O6" s="19" t="s">
        <v>98</v>
      </c>
    </row>
    <row r="7" spans="1:15">
      <c r="A7" s="18" t="s">
        <v>66</v>
      </c>
      <c r="B7" s="18" t="s">
        <v>67</v>
      </c>
      <c r="C7" s="19" t="s">
        <v>68</v>
      </c>
      <c r="D7" s="19" t="s">
        <v>24</v>
      </c>
      <c r="E7" s="19" t="s">
        <v>68</v>
      </c>
      <c r="F7" s="19" t="s">
        <v>68</v>
      </c>
      <c r="G7" s="19" t="s">
        <v>68</v>
      </c>
      <c r="H7" s="19" t="s">
        <v>68</v>
      </c>
      <c r="I7" s="19" t="s">
        <v>68</v>
      </c>
      <c r="J7" s="19" t="s">
        <v>68</v>
      </c>
      <c r="K7" s="19" t="s">
        <v>68</v>
      </c>
      <c r="L7" s="19"/>
      <c r="M7" s="19" t="s">
        <v>68</v>
      </c>
      <c r="N7" s="19" t="s">
        <v>68</v>
      </c>
      <c r="O7" s="19"/>
    </row>
    <row r="8" spans="1:15">
      <c r="A8" s="18" t="s">
        <v>69</v>
      </c>
      <c r="B8" s="17">
        <v>0</v>
      </c>
      <c r="C8" s="20">
        <v>0.99820629999999999</v>
      </c>
      <c r="D8" s="36">
        <f>C8*1000</f>
        <v>998.20629999999994</v>
      </c>
      <c r="E8" s="35">
        <f t="shared" ref="E8:E27" si="0">$C$8+(1-$C$8/$E$4)*B8/1000</f>
        <v>0.99820629999999999</v>
      </c>
      <c r="F8" s="20">
        <f t="shared" ref="F8:F27" si="1">C8-E8</f>
        <v>0</v>
      </c>
      <c r="G8" s="36">
        <v>3.35</v>
      </c>
      <c r="H8" s="45">
        <f>($C$8+(1-$C$8/G8)*B8/1000)*1000</f>
        <v>998.20629999999994</v>
      </c>
      <c r="I8" s="36">
        <f t="shared" ref="I8:I27" si="2">B8*B8*$I$1+B8*$I$2+$I$3</f>
        <v>3.3056569510490843</v>
      </c>
      <c r="J8" s="35">
        <f t="shared" ref="J8:J27" si="3">$C$8+(1-$C$8/I8)*B8/1000</f>
        <v>0.99820629999999999</v>
      </c>
      <c r="K8" s="20">
        <f t="shared" ref="K8:K27" si="4">J8-C8</f>
        <v>0</v>
      </c>
      <c r="L8" s="20">
        <f>K8^2*1000</f>
        <v>0</v>
      </c>
      <c r="M8" s="17">
        <f t="shared" ref="M8:M27" si="5">B8*B8*$M$1+B8*$M$2+$M$3</f>
        <v>0.99816816803224784</v>
      </c>
      <c r="N8" s="20">
        <f t="shared" ref="N8:N27" si="6">M8-C8</f>
        <v>-3.8131967752152995E-5</v>
      </c>
      <c r="O8" s="20">
        <f>N8^2*1000</f>
        <v>1.4540469646512361E-6</v>
      </c>
    </row>
    <row r="9" spans="1:15">
      <c r="B9" s="17">
        <v>1</v>
      </c>
      <c r="C9" s="20">
        <v>0.99890000000000001</v>
      </c>
      <c r="D9" s="36">
        <f t="shared" ref="D9:D27" si="7">C9*1000</f>
        <v>998.9</v>
      </c>
      <c r="E9" s="35">
        <f t="shared" si="0"/>
        <v>0.99890832797014928</v>
      </c>
      <c r="F9" s="20">
        <f t="shared" si="1"/>
        <v>-8.3279701492688929E-6</v>
      </c>
      <c r="G9" s="36">
        <v>3.9259550614792391</v>
      </c>
      <c r="H9" s="45">
        <f t="shared" ref="H9:H27" si="8">($C$8+(1-$C$8/G9)*B9/1000)*1000</f>
        <v>998.95204179164853</v>
      </c>
      <c r="I9" s="36">
        <f t="shared" si="2"/>
        <v>3.3042405806785298</v>
      </c>
      <c r="J9" s="35">
        <f t="shared" si="3"/>
        <v>0.99890420144645131</v>
      </c>
      <c r="K9" s="20">
        <f t="shared" si="4"/>
        <v>4.2014464513018268E-6</v>
      </c>
      <c r="L9" s="20">
        <f t="shared" ref="L9:L27" si="9">K9^2*1000</f>
        <v>1.7652152283156712E-8</v>
      </c>
      <c r="M9" s="17">
        <f t="shared" si="5"/>
        <v>0.99888723591841011</v>
      </c>
      <c r="N9" s="20">
        <f t="shared" si="6"/>
        <v>-1.2764081589899945E-5</v>
      </c>
      <c r="O9" s="20">
        <f t="shared" ref="O9:O27" si="10">N9^2*1000</f>
        <v>1.6292177883362272E-7</v>
      </c>
    </row>
    <row r="10" spans="1:15">
      <c r="B10" s="17">
        <v>2</v>
      </c>
      <c r="C10" s="20">
        <v>0.99970000000000003</v>
      </c>
      <c r="D10" s="36">
        <f t="shared" si="7"/>
        <v>999.7</v>
      </c>
      <c r="E10" s="35">
        <f t="shared" si="0"/>
        <v>0.99961035594029846</v>
      </c>
      <c r="F10" s="20">
        <f t="shared" si="1"/>
        <v>8.964405970157685E-5</v>
      </c>
      <c r="G10" s="36">
        <v>3.991896814090361</v>
      </c>
      <c r="H10" s="45">
        <f t="shared" si="8"/>
        <v>999.70618371619389</v>
      </c>
      <c r="I10" s="36">
        <f t="shared" si="2"/>
        <v>3.3028204257030356</v>
      </c>
      <c r="J10" s="35">
        <f t="shared" si="3"/>
        <v>0.99960184309872147</v>
      </c>
      <c r="K10" s="20">
        <f t="shared" si="4"/>
        <v>-9.8156901278567688E-5</v>
      </c>
      <c r="L10" s="20">
        <f t="shared" si="9"/>
        <v>9.6347772686104835E-6</v>
      </c>
      <c r="M10" s="17">
        <f t="shared" si="5"/>
        <v>0.99960572074516496</v>
      </c>
      <c r="N10" s="20">
        <f t="shared" si="6"/>
        <v>-9.4279254835072379E-5</v>
      </c>
      <c r="O10" s="20">
        <f t="shared" si="10"/>
        <v>8.8885778922565178E-6</v>
      </c>
    </row>
    <row r="11" spans="1:15">
      <c r="B11" s="17">
        <v>3</v>
      </c>
      <c r="C11" s="20">
        <v>1.0004</v>
      </c>
      <c r="D11" s="36">
        <f t="shared" si="7"/>
        <v>1000.4</v>
      </c>
      <c r="E11" s="35">
        <f t="shared" si="0"/>
        <v>1.0003123839104477</v>
      </c>
      <c r="F11" s="20">
        <f t="shared" si="1"/>
        <v>8.7616089552211562E-5</v>
      </c>
      <c r="G11" s="36">
        <v>3.95410391017412</v>
      </c>
      <c r="H11" s="45">
        <f t="shared" si="8"/>
        <v>1000.4489554870511</v>
      </c>
      <c r="I11" s="36">
        <f t="shared" si="2"/>
        <v>3.3013964861226017</v>
      </c>
      <c r="J11" s="35">
        <f t="shared" si="3"/>
        <v>1.0002992235817061</v>
      </c>
      <c r="K11" s="20">
        <f t="shared" si="4"/>
        <v>-1.0077641829386863E-4</v>
      </c>
      <c r="L11" s="20">
        <f t="shared" si="9"/>
        <v>1.015588648414078E-5</v>
      </c>
      <c r="M11" s="17">
        <f t="shared" si="5"/>
        <v>1.0003236225125125</v>
      </c>
      <c r="N11" s="20">
        <f t="shared" si="6"/>
        <v>-7.6377487487455653E-5</v>
      </c>
      <c r="O11" s="20">
        <f t="shared" si="10"/>
        <v>5.8335205948964447E-6</v>
      </c>
    </row>
    <row r="12" spans="1:15">
      <c r="B12" s="17">
        <v>4</v>
      </c>
      <c r="C12" s="20">
        <v>1.0011000000000001</v>
      </c>
      <c r="D12" s="36">
        <f t="shared" si="7"/>
        <v>1001.1000000000001</v>
      </c>
      <c r="E12" s="35">
        <f t="shared" si="0"/>
        <v>1.001014411880597</v>
      </c>
      <c r="F12" s="20">
        <f t="shared" si="1"/>
        <v>8.5588119403068319E-5</v>
      </c>
      <c r="G12" s="36">
        <v>3.8928250999554943</v>
      </c>
      <c r="H12" s="45">
        <f t="shared" si="8"/>
        <v>1001.1806116894602</v>
      </c>
      <c r="I12" s="36">
        <f t="shared" si="2"/>
        <v>3.2999687619372273</v>
      </c>
      <c r="J12" s="35">
        <f t="shared" si="3"/>
        <v>1.0009963415161336</v>
      </c>
      <c r="K12" s="20">
        <f t="shared" si="4"/>
        <v>-1.0365848386650889E-4</v>
      </c>
      <c r="L12" s="20">
        <f t="shared" si="9"/>
        <v>1.0745081277503284E-5</v>
      </c>
      <c r="M12" s="17">
        <f t="shared" si="5"/>
        <v>1.0010409412204524</v>
      </c>
      <c r="N12" s="20">
        <f t="shared" si="6"/>
        <v>-5.9058779547704887E-5</v>
      </c>
      <c r="O12" s="20">
        <f t="shared" si="10"/>
        <v>3.4879394416644049E-6</v>
      </c>
    </row>
    <row r="13" spans="1:15">
      <c r="B13" s="17">
        <v>5</v>
      </c>
      <c r="C13" s="20">
        <v>1.0018</v>
      </c>
      <c r="D13" s="36">
        <f t="shared" si="7"/>
        <v>1001.8000000000001</v>
      </c>
      <c r="E13" s="35">
        <f t="shared" si="0"/>
        <v>1.0017164398507463</v>
      </c>
      <c r="F13" s="20">
        <f t="shared" si="1"/>
        <v>8.3560149253703031E-5</v>
      </c>
      <c r="G13" s="36">
        <v>3.8248354198566248</v>
      </c>
      <c r="H13" s="45">
        <f t="shared" si="8"/>
        <v>1001.9013990167866</v>
      </c>
      <c r="I13" s="36">
        <f t="shared" si="2"/>
        <v>3.2985372531469137</v>
      </c>
      <c r="J13" s="35">
        <f t="shared" si="3"/>
        <v>1.0016931955185397</v>
      </c>
      <c r="K13" s="20">
        <f t="shared" si="4"/>
        <v>-1.0680448146027643E-4</v>
      </c>
      <c r="L13" s="20">
        <f t="shared" si="9"/>
        <v>1.1407197259998532E-5</v>
      </c>
      <c r="M13" s="17">
        <f t="shared" si="5"/>
        <v>1.0017576768689851</v>
      </c>
      <c r="N13" s="20">
        <f t="shared" si="6"/>
        <v>-4.2323131014931903E-5</v>
      </c>
      <c r="O13" s="20">
        <f t="shared" si="10"/>
        <v>1.7912474189070907E-6</v>
      </c>
    </row>
    <row r="14" spans="1:15">
      <c r="B14" s="17">
        <v>6</v>
      </c>
      <c r="C14" s="20">
        <v>1.0024999999999999</v>
      </c>
      <c r="D14" s="36">
        <f t="shared" si="7"/>
        <v>1002.5</v>
      </c>
      <c r="E14" s="35">
        <f t="shared" si="0"/>
        <v>1.0024184678208956</v>
      </c>
      <c r="F14" s="20">
        <f t="shared" si="1"/>
        <v>8.1532179104337743E-5</v>
      </c>
      <c r="G14" s="36">
        <v>3.7341782398195571</v>
      </c>
      <c r="H14" s="45">
        <f t="shared" si="8"/>
        <v>1002.6024028597582</v>
      </c>
      <c r="I14" s="36">
        <f t="shared" si="2"/>
        <v>3.2971019597516595</v>
      </c>
      <c r="J14" s="35">
        <f t="shared" si="3"/>
        <v>1.0023897842012435</v>
      </c>
      <c r="K14" s="20">
        <f t="shared" si="4"/>
        <v>-1.1021579875647447E-4</v>
      </c>
      <c r="L14" s="20">
        <f t="shared" si="9"/>
        <v>1.214752229552768E-5</v>
      </c>
      <c r="M14" s="17">
        <f t="shared" si="5"/>
        <v>1.0024738294581104</v>
      </c>
      <c r="N14" s="20">
        <f t="shared" si="6"/>
        <v>-2.617054188958079E-5</v>
      </c>
      <c r="O14" s="20">
        <f t="shared" si="10"/>
        <v>6.8489726279430284E-7</v>
      </c>
    </row>
    <row r="15" spans="1:15">
      <c r="B15" s="17">
        <v>7</v>
      </c>
      <c r="C15" s="20">
        <v>1.0032000000000001</v>
      </c>
      <c r="D15" s="36">
        <f t="shared" si="7"/>
        <v>1003.2</v>
      </c>
      <c r="E15" s="35">
        <f t="shared" si="0"/>
        <v>1.0031204957910447</v>
      </c>
      <c r="F15" s="20">
        <f t="shared" si="1"/>
        <v>7.9504208955416544E-5</v>
      </c>
      <c r="G15" s="36">
        <v>3.669871946645729</v>
      </c>
      <c r="H15" s="45">
        <f t="shared" si="8"/>
        <v>1003.3022978436342</v>
      </c>
      <c r="I15" s="36">
        <f t="shared" si="2"/>
        <v>3.2956628817514662</v>
      </c>
      <c r="J15" s="35">
        <f t="shared" si="3"/>
        <v>1.0030861061723211</v>
      </c>
      <c r="K15" s="20">
        <f t="shared" si="4"/>
        <v>-1.1389382767901246E-4</v>
      </c>
      <c r="L15" s="20">
        <f t="shared" si="9"/>
        <v>1.2971803983376585E-5</v>
      </c>
      <c r="M15" s="17">
        <f t="shared" si="5"/>
        <v>1.0031893989878282</v>
      </c>
      <c r="N15" s="20">
        <f t="shared" si="6"/>
        <v>-1.0601012171873592E-5</v>
      </c>
      <c r="O15" s="20">
        <f t="shared" si="10"/>
        <v>1.1238145906821204E-7</v>
      </c>
    </row>
    <row r="16" spans="1:15">
      <c r="B16" s="17">
        <v>8</v>
      </c>
      <c r="C16" s="20">
        <v>1.0039</v>
      </c>
      <c r="D16" s="36">
        <f t="shared" si="7"/>
        <v>1003.9</v>
      </c>
      <c r="E16" s="35">
        <f t="shared" si="0"/>
        <v>1.003822523761194</v>
      </c>
      <c r="F16" s="20">
        <f t="shared" si="1"/>
        <v>7.7476238806051256E-5</v>
      </c>
      <c r="G16" s="36">
        <v>3.6064319876917641</v>
      </c>
      <c r="H16" s="45">
        <f t="shared" si="8"/>
        <v>1003.9920199505623</v>
      </c>
      <c r="I16" s="36">
        <f t="shared" si="2"/>
        <v>3.2942200191463322</v>
      </c>
      <c r="J16" s="35">
        <f t="shared" si="3"/>
        <v>1.0037821600355816</v>
      </c>
      <c r="K16" s="20">
        <f t="shared" si="4"/>
        <v>-1.1783996441838696E-4</v>
      </c>
      <c r="L16" s="20">
        <f t="shared" si="9"/>
        <v>1.3886257214126704E-5</v>
      </c>
      <c r="M16" s="17">
        <f t="shared" si="5"/>
        <v>1.0039043854581386</v>
      </c>
      <c r="N16" s="20">
        <f t="shared" si="6"/>
        <v>4.3854581386337799E-6</v>
      </c>
      <c r="O16" s="20">
        <f t="shared" si="10"/>
        <v>1.9232243085709257E-8</v>
      </c>
    </row>
    <row r="17" spans="1:15">
      <c r="B17" s="17">
        <v>9</v>
      </c>
      <c r="C17" s="20">
        <v>1.0045999999999999</v>
      </c>
      <c r="D17" s="36">
        <f t="shared" si="7"/>
        <v>1004.5999999999999</v>
      </c>
      <c r="E17" s="35">
        <f t="shared" si="0"/>
        <v>1.0045245517313433</v>
      </c>
      <c r="F17" s="20">
        <f t="shared" si="1"/>
        <v>7.5448268656685968E-5</v>
      </c>
      <c r="G17" s="36">
        <v>3.5446116532312022</v>
      </c>
      <c r="H17" s="45">
        <f t="shared" si="8"/>
        <v>1004.6717891483498</v>
      </c>
      <c r="I17" s="36">
        <f t="shared" si="2"/>
        <v>3.2927733719362586</v>
      </c>
      <c r="J17" s="35">
        <f t="shared" si="3"/>
        <v>1.0044779443905409</v>
      </c>
      <c r="K17" s="20">
        <f t="shared" si="4"/>
        <v>-1.2205560945899308E-4</v>
      </c>
      <c r="L17" s="20">
        <f t="shared" si="9"/>
        <v>1.489757180040624E-5</v>
      </c>
      <c r="M17" s="17">
        <f t="shared" si="5"/>
        <v>1.0046187888690417</v>
      </c>
      <c r="N17" s="20">
        <f t="shared" si="6"/>
        <v>1.8788869041719281E-5</v>
      </c>
      <c r="O17" s="20">
        <f t="shared" si="10"/>
        <v>3.5302159986687718E-7</v>
      </c>
    </row>
    <row r="18" spans="1:15">
      <c r="B18" s="17">
        <v>10.1</v>
      </c>
      <c r="C18" s="20">
        <v>1.0053000000000001</v>
      </c>
      <c r="D18" s="36">
        <f t="shared" si="7"/>
        <v>1005.3000000000001</v>
      </c>
      <c r="E18" s="35">
        <f t="shared" si="0"/>
        <v>1.0052967824985075</v>
      </c>
      <c r="F18" s="20">
        <f t="shared" si="1"/>
        <v>3.2175014925694967E-6</v>
      </c>
      <c r="G18" s="36">
        <v>3.4847721687045139</v>
      </c>
      <c r="H18" s="45">
        <f t="shared" si="8"/>
        <v>1005.4131743831973</v>
      </c>
      <c r="I18" s="36">
        <f t="shared" si="2"/>
        <v>3.2911776887864721</v>
      </c>
      <c r="J18" s="35">
        <f t="shared" si="3"/>
        <v>1.0052429942221472</v>
      </c>
      <c r="K18" s="20">
        <f t="shared" si="4"/>
        <v>-5.7005777852836559E-5</v>
      </c>
      <c r="L18" s="20">
        <f t="shared" si="9"/>
        <v>3.2496587086069513E-6</v>
      </c>
      <c r="M18" s="17">
        <f t="shared" si="5"/>
        <v>1.0054039591874193</v>
      </c>
      <c r="N18" s="20">
        <f t="shared" si="6"/>
        <v>1.039591874192336E-4</v>
      </c>
      <c r="O18" s="20">
        <f t="shared" si="10"/>
        <v>1.0807512648867337E-5</v>
      </c>
    </row>
    <row r="19" spans="1:15">
      <c r="B19" s="17">
        <v>12.1</v>
      </c>
      <c r="C19" s="20">
        <v>1.0067999999999999</v>
      </c>
      <c r="D19" s="36">
        <f t="shared" si="7"/>
        <v>1006.8</v>
      </c>
      <c r="E19" s="35">
        <f t="shared" si="0"/>
        <v>1.0067008384388059</v>
      </c>
      <c r="F19" s="20">
        <f t="shared" si="1"/>
        <v>9.9161561194049952E-5</v>
      </c>
      <c r="G19" s="36">
        <v>3.4270693965317705</v>
      </c>
      <c r="H19" s="45">
        <f t="shared" si="8"/>
        <v>1006.7819195943324</v>
      </c>
      <c r="I19" s="36">
        <f t="shared" si="2"/>
        <v>3.2882647144206376</v>
      </c>
      <c r="J19" s="35">
        <f t="shared" si="3"/>
        <v>1.0066331479642072</v>
      </c>
      <c r="K19" s="20">
        <f t="shared" si="4"/>
        <v>-1.6685203579269725E-4</v>
      </c>
      <c r="L19" s="20">
        <f t="shared" si="9"/>
        <v>2.7839601848167524E-5</v>
      </c>
      <c r="M19" s="17">
        <f t="shared" si="5"/>
        <v>1.0068297341003067</v>
      </c>
      <c r="N19" s="20">
        <f t="shared" si="6"/>
        <v>2.9734100306821887E-5</v>
      </c>
      <c r="O19" s="20">
        <f t="shared" si="10"/>
        <v>8.8411672105614549E-7</v>
      </c>
    </row>
    <row r="20" spans="1:15">
      <c r="B20" s="17">
        <v>14.1</v>
      </c>
      <c r="C20" s="20">
        <v>1.0082</v>
      </c>
      <c r="D20" s="36">
        <f>C20*1000</f>
        <v>1008.1999999999999</v>
      </c>
      <c r="E20" s="35">
        <f t="shared" si="0"/>
        <v>1.0081048943791044</v>
      </c>
      <c r="F20" s="20">
        <f t="shared" si="1"/>
        <v>9.5105620895541421E-5</v>
      </c>
      <c r="G20" s="36">
        <v>3.3715468070676806</v>
      </c>
      <c r="H20" s="45">
        <f t="shared" si="8"/>
        <v>1008.1317446295999</v>
      </c>
      <c r="I20" s="36">
        <f t="shared" si="2"/>
        <v>3.2853366016350436</v>
      </c>
      <c r="J20" s="35">
        <f t="shared" si="3"/>
        <v>1.0080222005189923</v>
      </c>
      <c r="K20" s="20">
        <f t="shared" si="4"/>
        <v>-1.7779948100771215E-4</v>
      </c>
      <c r="L20" s="20">
        <f t="shared" si="9"/>
        <v>3.1612655446611789E-5</v>
      </c>
      <c r="M20" s="39">
        <f t="shared" si="5"/>
        <v>1.0082531767755647</v>
      </c>
      <c r="N20" s="20">
        <f t="shared" si="6"/>
        <v>5.3176775564711676E-5</v>
      </c>
      <c r="O20" s="20">
        <f t="shared" si="10"/>
        <v>2.8277694594597167E-6</v>
      </c>
    </row>
    <row r="21" spans="1:15">
      <c r="B21" s="17">
        <v>16.2</v>
      </c>
      <c r="C21" s="20">
        <v>1.0096000000000001</v>
      </c>
      <c r="D21" s="36">
        <f t="shared" si="7"/>
        <v>1009.6</v>
      </c>
      <c r="E21" s="35">
        <f t="shared" si="0"/>
        <v>1.009579153116418</v>
      </c>
      <c r="F21" s="20">
        <f t="shared" si="1"/>
        <v>2.0846883582059661E-5</v>
      </c>
      <c r="G21" s="36">
        <v>3.3160242176035899</v>
      </c>
      <c r="H21" s="45">
        <f t="shared" si="8"/>
        <v>1009.5296944631181</v>
      </c>
      <c r="I21" s="36">
        <f t="shared" si="2"/>
        <v>3.2822457904859035</v>
      </c>
      <c r="J21" s="35">
        <f t="shared" si="3"/>
        <v>1.0094795080739127</v>
      </c>
      <c r="K21" s="20">
        <f t="shared" si="4"/>
        <v>-1.2049192608731829E-4</v>
      </c>
      <c r="L21" s="20">
        <f t="shared" si="9"/>
        <v>1.4518304252231774E-5</v>
      </c>
      <c r="M21" s="17">
        <f t="shared" si="5"/>
        <v>1.0097452815138366</v>
      </c>
      <c r="N21" s="20">
        <f t="shared" si="6"/>
        <v>1.4528151383652599E-4</v>
      </c>
      <c r="O21" s="20">
        <f t="shared" si="10"/>
        <v>2.1106718262632691E-5</v>
      </c>
    </row>
    <row r="22" spans="1:15">
      <c r="B22" s="17">
        <v>18.2</v>
      </c>
      <c r="C22" s="20">
        <v>1.0109999999999999</v>
      </c>
      <c r="D22" s="36">
        <f t="shared" si="7"/>
        <v>1010.9999999999999</v>
      </c>
      <c r="E22" s="35">
        <f t="shared" si="0"/>
        <v>1.0109832090567163</v>
      </c>
      <c r="F22" s="20">
        <f t="shared" si="1"/>
        <v>1.679094328355113E-5</v>
      </c>
      <c r="G22" s="36">
        <v>3.2605016281395001</v>
      </c>
      <c r="H22" s="45">
        <f t="shared" si="8"/>
        <v>1010.8343491985626</v>
      </c>
      <c r="I22" s="36">
        <f t="shared" si="2"/>
        <v>3.2792866439398023</v>
      </c>
      <c r="J22" s="35">
        <f t="shared" si="3"/>
        <v>1.0108662674768982</v>
      </c>
      <c r="K22" s="20">
        <f t="shared" si="4"/>
        <v>-1.3373252310167061E-4</v>
      </c>
      <c r="L22" s="20">
        <f t="shared" si="9"/>
        <v>1.7884387735138864E-5</v>
      </c>
      <c r="M22" s="39">
        <f t="shared" si="5"/>
        <v>1.0111639431019535</v>
      </c>
      <c r="N22" s="20">
        <f t="shared" si="6"/>
        <v>1.6394310195355644E-4</v>
      </c>
      <c r="O22" s="20">
        <f t="shared" si="10"/>
        <v>2.6877340678154202E-5</v>
      </c>
    </row>
    <row r="23" spans="1:15">
      <c r="B23" s="17">
        <v>20.2</v>
      </c>
      <c r="C23" s="20">
        <v>1.0125</v>
      </c>
      <c r="D23" s="36">
        <f t="shared" si="7"/>
        <v>1012.5</v>
      </c>
      <c r="E23" s="35">
        <f t="shared" si="0"/>
        <v>1.0123872649970149</v>
      </c>
      <c r="F23" s="20">
        <f t="shared" si="1"/>
        <v>1.1273500298503158E-4</v>
      </c>
      <c r="G23" s="36">
        <v>3.2049790386754098</v>
      </c>
      <c r="H23" s="45">
        <f t="shared" si="8"/>
        <v>1012.1149118140935</v>
      </c>
      <c r="I23" s="36">
        <f t="shared" si="2"/>
        <v>3.2763123589739416</v>
      </c>
      <c r="J23" s="35">
        <f t="shared" si="3"/>
        <v>1.0122518906974893</v>
      </c>
      <c r="K23" s="20">
        <f t="shared" si="4"/>
        <v>-2.4810930251062402E-4</v>
      </c>
      <c r="L23" s="20">
        <f t="shared" si="9"/>
        <v>6.1558225992308345E-5</v>
      </c>
      <c r="M23" s="17">
        <f t="shared" si="5"/>
        <v>1.0125802724524411</v>
      </c>
      <c r="N23" s="20">
        <f t="shared" si="6"/>
        <v>8.0272452441132458E-5</v>
      </c>
      <c r="O23" s="20">
        <f t="shared" si="10"/>
        <v>6.4436666209138726E-6</v>
      </c>
    </row>
    <row r="24" spans="1:15">
      <c r="B24" s="17">
        <v>24.4</v>
      </c>
      <c r="C24" s="20">
        <v>1.0153000000000001</v>
      </c>
      <c r="D24" s="36">
        <f t="shared" si="7"/>
        <v>1015.3000000000001</v>
      </c>
      <c r="E24" s="35">
        <f t="shared" si="0"/>
        <v>1.0153357824716418</v>
      </c>
      <c r="F24" s="20">
        <f t="shared" si="1"/>
        <v>-3.578247164170989E-5</v>
      </c>
      <c r="G24" s="36">
        <v>3.14945644921132</v>
      </c>
      <c r="H24" s="45">
        <f t="shared" si="8"/>
        <v>1014.8728278555925</v>
      </c>
      <c r="I24" s="36">
        <f t="shared" si="2"/>
        <v>3.2700170849893162</v>
      </c>
      <c r="J24" s="35">
        <f t="shared" si="3"/>
        <v>1.0151579493990797</v>
      </c>
      <c r="K24" s="20">
        <f t="shared" si="4"/>
        <v>-1.420506009204292E-4</v>
      </c>
      <c r="L24" s="20">
        <f t="shared" si="9"/>
        <v>2.0178373221855042E-5</v>
      </c>
      <c r="M24" s="39">
        <f t="shared" si="5"/>
        <v>1.0155469726549802</v>
      </c>
      <c r="N24" s="20">
        <f t="shared" si="6"/>
        <v>2.4697265498008214E-4</v>
      </c>
      <c r="O24" s="20">
        <f t="shared" si="10"/>
        <v>6.0995492307910687E-5</v>
      </c>
    </row>
    <row r="25" spans="1:15">
      <c r="B25" s="17">
        <v>28.5</v>
      </c>
      <c r="C25" s="20">
        <v>1.0182</v>
      </c>
      <c r="D25" s="36">
        <f t="shared" si="7"/>
        <v>1018.2</v>
      </c>
      <c r="E25" s="35">
        <f t="shared" si="0"/>
        <v>1.0182140971492537</v>
      </c>
      <c r="F25" s="20">
        <f t="shared" si="1"/>
        <v>-1.4097149253711194E-5</v>
      </c>
      <c r="G25" s="36">
        <v>3.0939338597472301</v>
      </c>
      <c r="H25" s="45">
        <f t="shared" si="8"/>
        <v>1017.5112490261811</v>
      </c>
      <c r="I25" s="36">
        <f t="shared" si="2"/>
        <v>3.2638073034274631</v>
      </c>
      <c r="J25" s="35">
        <f t="shared" si="3"/>
        <v>1.0179898296617773</v>
      </c>
      <c r="K25" s="20">
        <f t="shared" si="4"/>
        <v>-2.1017033822268161E-4</v>
      </c>
      <c r="L25" s="20">
        <f t="shared" si="9"/>
        <v>4.4171571068636384E-5</v>
      </c>
      <c r="M25" s="17">
        <f t="shared" si="5"/>
        <v>1.0184331163825942</v>
      </c>
      <c r="N25" s="20">
        <f t="shared" si="6"/>
        <v>2.3311638259415624E-4</v>
      </c>
      <c r="O25" s="20">
        <f t="shared" si="10"/>
        <v>5.4343247833785027E-5</v>
      </c>
    </row>
    <row r="26" spans="1:15">
      <c r="B26" s="17">
        <v>30.6</v>
      </c>
      <c r="C26" s="20">
        <v>1.0196000000000001</v>
      </c>
      <c r="D26" s="36">
        <f t="shared" si="7"/>
        <v>1019.6</v>
      </c>
      <c r="E26" s="35">
        <f t="shared" si="0"/>
        <v>1.0196883558865673</v>
      </c>
      <c r="F26" s="20">
        <f t="shared" si="1"/>
        <v>-8.8355886567192954E-5</v>
      </c>
      <c r="G26" s="36">
        <v>3.0384112702831398</v>
      </c>
      <c r="H26" s="45">
        <f t="shared" si="8"/>
        <v>1018.7533117561953</v>
      </c>
      <c r="I26" s="36">
        <f t="shared" si="2"/>
        <v>3.2606020458249403</v>
      </c>
      <c r="J26" s="35">
        <f t="shared" si="3"/>
        <v>1.0194383635420345</v>
      </c>
      <c r="K26" s="20">
        <f t="shared" si="4"/>
        <v>-1.616364579655194E-4</v>
      </c>
      <c r="L26" s="20">
        <f t="shared" si="9"/>
        <v>2.612634454363912E-5</v>
      </c>
      <c r="M26" s="39">
        <f t="shared" si="5"/>
        <v>1.0199075894043861</v>
      </c>
      <c r="N26" s="20">
        <f t="shared" si="6"/>
        <v>3.0758940438602167E-4</v>
      </c>
      <c r="O26" s="20">
        <f t="shared" si="10"/>
        <v>9.4611241690547573E-5</v>
      </c>
    </row>
    <row r="27" spans="1:15">
      <c r="A27" s="18" t="s">
        <v>70</v>
      </c>
      <c r="B27" s="17">
        <v>32.700000000000003</v>
      </c>
      <c r="C27" s="20">
        <v>1.0210999999999999</v>
      </c>
      <c r="D27" s="36">
        <f t="shared" si="7"/>
        <v>1021.0999999999999</v>
      </c>
      <c r="E27" s="35">
        <f t="shared" si="0"/>
        <v>1.0211626146238806</v>
      </c>
      <c r="F27" s="20">
        <f t="shared" si="1"/>
        <v>-6.2614623880685727E-5</v>
      </c>
      <c r="G27" s="36">
        <v>2.98288868081905</v>
      </c>
      <c r="H27" s="45">
        <f t="shared" si="8"/>
        <v>1019.9634357154914</v>
      </c>
      <c r="I27" s="36">
        <f t="shared" si="2"/>
        <v>3.2573800981146328</v>
      </c>
      <c r="J27" s="35">
        <f t="shared" si="3"/>
        <v>1.0208855640014922</v>
      </c>
      <c r="K27" s="20">
        <f t="shared" si="4"/>
        <v>-2.1443599850767825E-4</v>
      </c>
      <c r="L27" s="20">
        <f t="shared" si="9"/>
        <v>4.5982797455984989E-5</v>
      </c>
      <c r="M27" s="17">
        <f t="shared" si="5"/>
        <v>1.0213794911341911</v>
      </c>
      <c r="N27" s="20">
        <f t="shared" si="6"/>
        <v>2.7949113419123428E-4</v>
      </c>
      <c r="O27" s="20">
        <f t="shared" si="10"/>
        <v>7.8115294091502527E-5</v>
      </c>
    </row>
    <row r="28" spans="1:15">
      <c r="A28" s="17" t="s">
        <v>71</v>
      </c>
      <c r="F28" s="20"/>
      <c r="G28" s="36"/>
      <c r="H28" s="35"/>
      <c r="I28" s="36"/>
      <c r="J28" s="35"/>
      <c r="K28" s="20"/>
      <c r="L28" s="20"/>
      <c r="N28" s="20"/>
      <c r="O28" s="20"/>
    </row>
    <row r="29" spans="1:15">
      <c r="A29" s="17" t="s">
        <v>72</v>
      </c>
      <c r="F29" s="20"/>
      <c r="G29" s="36"/>
      <c r="H29" s="35"/>
      <c r="I29" s="36"/>
      <c r="J29" s="35"/>
      <c r="K29" s="20"/>
      <c r="L29" s="20"/>
      <c r="N29" s="20"/>
      <c r="O29" s="20"/>
    </row>
    <row r="30" spans="1:15">
      <c r="A30" s="17">
        <v>0.1</v>
      </c>
      <c r="B30" s="21">
        <v>5.8239069892807507</v>
      </c>
      <c r="C30" s="17">
        <v>1.0023856779134339</v>
      </c>
      <c r="D30" s="36">
        <f t="shared" ref="D30:D38" si="11">C30*1000</f>
        <v>1002.3856779134339</v>
      </c>
      <c r="E30" s="35">
        <f>$C$8+(1-$C$8/$E$4)*B30/1000</f>
        <v>1.0022948456020229</v>
      </c>
      <c r="F30" s="20">
        <f>C30-E30</f>
        <v>9.083231141104875E-5</v>
      </c>
      <c r="G30" s="36">
        <v>3.4270693965317705</v>
      </c>
      <c r="H30" s="45">
        <f t="shared" ref="H30:H38" si="12">($C$8+(1-$C$8/G30)*B30/1000)*1000</f>
        <v>1002.3338711481691</v>
      </c>
      <c r="I30" s="36">
        <f>B30*B30*$I$1+B30*$I$2+$I$3</f>
        <v>3.2973549794302031</v>
      </c>
      <c r="J30" s="35">
        <f>$C$8+(1-$C$8/I30)*B30/1000</f>
        <v>1.0022671391110631</v>
      </c>
      <c r="K30" s="20">
        <f>J30-C30</f>
        <v>-1.1853880237078229E-4</v>
      </c>
      <c r="L30" s="20">
        <f t="shared" ref="L30:L38" si="13">K30^2*1000</f>
        <v>1.4051447667499382E-5</v>
      </c>
      <c r="M30" s="17">
        <f>B30*B30*$M$1+B30*$M$2+$M$3</f>
        <v>1.002347762288929</v>
      </c>
      <c r="N30" s="20">
        <f>M30-C30</f>
        <v>-3.7915624504947232E-5</v>
      </c>
      <c r="O30" s="20">
        <f t="shared" ref="O30:O38" si="14">N30^2*1000</f>
        <v>1.437594581600155E-6</v>
      </c>
    </row>
    <row r="31" spans="1:15">
      <c r="A31" s="17">
        <v>0.25</v>
      </c>
      <c r="B31" s="21">
        <v>14.522130219990506</v>
      </c>
      <c r="C31" s="17">
        <v>1.0085077715608877</v>
      </c>
      <c r="D31" s="36">
        <f>C31*1000</f>
        <v>1008.5077715608877</v>
      </c>
      <c r="E31" s="35">
        <f>$C$8+(1-$C$8/$E$4)*B31/1000</f>
        <v>1.008401241600583</v>
      </c>
      <c r="F31" s="20">
        <f>C31-E31</f>
        <v>1.0652996030469097E-4</v>
      </c>
      <c r="G31" s="36">
        <v>3.3715468070676806</v>
      </c>
      <c r="H31" s="45">
        <f t="shared" si="12"/>
        <v>1008.4288957022947</v>
      </c>
      <c r="I31" s="36">
        <f>B31*B31*$I$1+B31*$I$2+$I$3</f>
        <v>3.2847166443949578</v>
      </c>
      <c r="J31" s="35">
        <f>$C$8+(1-$C$8/I31)*B31/1000</f>
        <v>1.0083152392375199</v>
      </c>
      <c r="K31" s="20">
        <f>J31-C31</f>
        <v>-1.9253232336780002E-4</v>
      </c>
      <c r="L31" s="20">
        <f t="shared" si="13"/>
        <v>3.7068695541403117E-5</v>
      </c>
      <c r="M31" s="39">
        <f>B31*B31*$M$1+B31*$M$2+$M$3</f>
        <v>1.0085533177845725</v>
      </c>
      <c r="N31" s="20">
        <f>M31-C31</f>
        <v>4.5546223684800324E-5</v>
      </c>
      <c r="O31" s="20">
        <f t="shared" si="14"/>
        <v>2.0744584919458657E-6</v>
      </c>
    </row>
    <row r="32" spans="1:15">
      <c r="A32" s="17">
        <v>0.5</v>
      </c>
      <c r="B32" s="21">
        <v>28.915743908557047</v>
      </c>
      <c r="C32" s="17">
        <v>1.0185031466654717</v>
      </c>
      <c r="D32" s="36">
        <f t="shared" si="11"/>
        <v>1018.5031466654717</v>
      </c>
      <c r="E32" s="35">
        <f t="shared" ref="E32:E38" si="15">$C$8+(1-$C$8/$E$4)*B32/1000</f>
        <v>1.0185059610014799</v>
      </c>
      <c r="F32" s="20">
        <f t="shared" ref="F32:F38" si="16">C32-E32</f>
        <v>-2.8143360082388824E-6</v>
      </c>
      <c r="G32" s="36">
        <v>3.3160242176035899</v>
      </c>
      <c r="H32" s="45">
        <f t="shared" si="12"/>
        <v>1018.4176811401912</v>
      </c>
      <c r="I32" s="36">
        <f t="shared" ref="I32:I38" si="17">B32*B32*$I$1+B32*$I$2+$I$3</f>
        <v>3.2631740730618115</v>
      </c>
      <c r="J32" s="35">
        <f t="shared" ref="J32:J38" si="18">$C$8+(1-$C$8/I32)*B32/1000</f>
        <v>1.018276705874958</v>
      </c>
      <c r="K32" s="20">
        <f t="shared" ref="K32:K38" si="19">J32-C32</f>
        <v>-2.2644079051370447E-4</v>
      </c>
      <c r="L32" s="20">
        <f t="shared" si="13"/>
        <v>5.1275431608471395E-5</v>
      </c>
      <c r="M32" s="17">
        <f t="shared" ref="M32:M38" si="20">B32*B32*$M$1+B32*$M$2+$M$3</f>
        <v>1.0187252267921225</v>
      </c>
      <c r="N32" s="20">
        <f t="shared" ref="N32:N38" si="21">M32-C32</f>
        <v>2.2208012665081434E-4</v>
      </c>
      <c r="O32" s="20">
        <f t="shared" si="14"/>
        <v>4.9319582653241735E-5</v>
      </c>
    </row>
    <row r="33" spans="1:15">
      <c r="A33" s="17">
        <v>0.75</v>
      </c>
      <c r="B33" s="21">
        <v>43.176740486694293</v>
      </c>
      <c r="C33" s="17">
        <v>1.028272348214148</v>
      </c>
      <c r="D33" s="36">
        <f t="shared" si="11"/>
        <v>1028.272348214148</v>
      </c>
      <c r="E33" s="35">
        <f t="shared" si="15"/>
        <v>1.0285175794815351</v>
      </c>
      <c r="F33" s="20">
        <f t="shared" si="16"/>
        <v>-2.4523126738706935E-4</v>
      </c>
      <c r="G33" s="36">
        <v>3.2605016281395001</v>
      </c>
      <c r="H33" s="45">
        <f t="shared" si="12"/>
        <v>1028.1644320384364</v>
      </c>
      <c r="I33" s="36">
        <f t="shared" si="17"/>
        <v>3.2410567098066001</v>
      </c>
      <c r="J33" s="35">
        <f t="shared" si="18"/>
        <v>1.0280851261870536</v>
      </c>
      <c r="K33" s="20">
        <f t="shared" si="19"/>
        <v>-1.872220270944247E-4</v>
      </c>
      <c r="L33" s="20">
        <f t="shared" si="13"/>
        <v>3.5052087429345497E-5</v>
      </c>
      <c r="M33" s="39">
        <f t="shared" si="20"/>
        <v>1.0286842841602841</v>
      </c>
      <c r="N33" s="20">
        <f t="shared" si="21"/>
        <v>4.119359461360883E-4</v>
      </c>
      <c r="O33" s="20">
        <f t="shared" si="14"/>
        <v>1.6969122371903424E-4</v>
      </c>
    </row>
    <row r="34" spans="1:15">
      <c r="A34" s="17">
        <v>1</v>
      </c>
      <c r="B34" s="21">
        <v>57.302347198931358</v>
      </c>
      <c r="C34" s="17">
        <v>1.0378353245933762</v>
      </c>
      <c r="D34" s="36">
        <f t="shared" si="11"/>
        <v>1037.8353245933763</v>
      </c>
      <c r="E34" s="35">
        <f t="shared" si="15"/>
        <v>1.0384341504888535</v>
      </c>
      <c r="F34" s="20">
        <f t="shared" si="16"/>
        <v>-5.9882589547721743E-4</v>
      </c>
      <c r="G34" s="36">
        <v>3.2049790386754098</v>
      </c>
      <c r="H34" s="45">
        <f t="shared" si="12"/>
        <v>1037.6615526349678</v>
      </c>
      <c r="I34" s="36">
        <f t="shared" si="17"/>
        <v>3.2183905508909105</v>
      </c>
      <c r="J34" s="35">
        <f t="shared" si="18"/>
        <v>1.0377359241330726</v>
      </c>
      <c r="K34" s="20">
        <f t="shared" si="19"/>
        <v>-9.9400460303655791E-5</v>
      </c>
      <c r="L34" s="20">
        <f t="shared" si="13"/>
        <v>9.8804515085786501E-6</v>
      </c>
      <c r="M34" s="17">
        <f t="shared" si="20"/>
        <v>1.0384318960602559</v>
      </c>
      <c r="N34" s="20">
        <f t="shared" si="21"/>
        <v>5.9657146687963625E-4</v>
      </c>
      <c r="O34" s="20">
        <f t="shared" si="14"/>
        <v>3.5589751509492091E-4</v>
      </c>
    </row>
    <row r="35" spans="1:15">
      <c r="A35" s="17">
        <v>2</v>
      </c>
      <c r="B35" s="21">
        <v>112.41556815521912</v>
      </c>
      <c r="C35" s="17">
        <v>1.0742188549041851</v>
      </c>
      <c r="D35" s="36">
        <f t="shared" si="11"/>
        <v>1074.218854904185</v>
      </c>
      <c r="E35" s="35">
        <f t="shared" si="15"/>
        <v>1.0771251731251836</v>
      </c>
      <c r="F35" s="20">
        <f t="shared" si="16"/>
        <v>-2.9063182209985161E-3</v>
      </c>
      <c r="G35" s="36">
        <v>3.14945644921132</v>
      </c>
      <c r="H35" s="45">
        <f t="shared" si="12"/>
        <v>1074.9922507402143</v>
      </c>
      <c r="I35" s="36">
        <f t="shared" si="17"/>
        <v>3.1227340771396621</v>
      </c>
      <c r="J35" s="35">
        <f t="shared" si="18"/>
        <v>1.0746873551359728</v>
      </c>
      <c r="K35" s="20">
        <f t="shared" si="19"/>
        <v>4.6850023178768296E-4</v>
      </c>
      <c r="L35" s="20">
        <f t="shared" si="13"/>
        <v>2.1949246718511265E-4</v>
      </c>
      <c r="M35" s="39">
        <f t="shared" si="20"/>
        <v>1.0753512288217859</v>
      </c>
      <c r="N35" s="20">
        <f t="shared" si="21"/>
        <v>1.132373917600793E-3</v>
      </c>
      <c r="O35" s="20">
        <f t="shared" si="14"/>
        <v>1.2822706892625677E-3</v>
      </c>
    </row>
    <row r="36" spans="1:15">
      <c r="A36" s="17">
        <v>3</v>
      </c>
      <c r="B36" s="21">
        <v>165.27107321101136</v>
      </c>
      <c r="C36" s="17">
        <v>1.1079534437962917</v>
      </c>
      <c r="D36" s="36">
        <f t="shared" si="11"/>
        <v>1107.9534437962916</v>
      </c>
      <c r="E36" s="35">
        <f t="shared" si="15"/>
        <v>1.1142312160507151</v>
      </c>
      <c r="F36" s="20">
        <f t="shared" si="16"/>
        <v>-6.277772254423386E-3</v>
      </c>
      <c r="G36" s="36">
        <v>3.0939338597472301</v>
      </c>
      <c r="H36" s="45">
        <f t="shared" si="12"/>
        <v>1110.1554103102042</v>
      </c>
      <c r="I36" s="36">
        <f t="shared" si="17"/>
        <v>3.0201972945840829</v>
      </c>
      <c r="J36" s="35">
        <f t="shared" si="18"/>
        <v>1.1088535819829248</v>
      </c>
      <c r="K36" s="20">
        <f t="shared" si="19"/>
        <v>9.0013818663314815E-4</v>
      </c>
      <c r="L36" s="20">
        <f t="shared" si="13"/>
        <v>8.1024875503521226E-4</v>
      </c>
      <c r="M36" s="17">
        <f t="shared" si="20"/>
        <v>1.1090944745670541</v>
      </c>
      <c r="N36" s="20">
        <f t="shared" si="21"/>
        <v>1.1410307707624412E-3</v>
      </c>
      <c r="O36" s="20">
        <f t="shared" si="14"/>
        <v>1.3019512198267306E-3</v>
      </c>
    </row>
    <row r="37" spans="1:15">
      <c r="A37" s="17">
        <v>4</v>
      </c>
      <c r="B37" s="21">
        <v>215.88457823850413</v>
      </c>
      <c r="C37" s="17">
        <v>1.1394154570822077</v>
      </c>
      <c r="D37" s="36">
        <f t="shared" si="11"/>
        <v>1139.4154570822077</v>
      </c>
      <c r="E37" s="35">
        <f t="shared" si="15"/>
        <v>1.1497633122473048</v>
      </c>
      <c r="F37" s="20">
        <f t="shared" si="16"/>
        <v>-1.0347855165097064E-2</v>
      </c>
      <c r="G37" s="36">
        <v>3.0384112702831398</v>
      </c>
      <c r="H37" s="45">
        <f t="shared" si="12"/>
        <v>1143.1665276813012</v>
      </c>
      <c r="I37" s="36">
        <f t="shared" si="17"/>
        <v>2.9121000150115961</v>
      </c>
      <c r="J37" s="35">
        <f t="shared" si="18"/>
        <v>1.1400902103494723</v>
      </c>
      <c r="K37" s="20">
        <f t="shared" si="19"/>
        <v>6.7475326726462725E-4</v>
      </c>
      <c r="L37" s="20">
        <f t="shared" si="13"/>
        <v>4.5529197168428948E-4</v>
      </c>
      <c r="M37" s="39">
        <f t="shared" si="20"/>
        <v>1.1398796947011967</v>
      </c>
      <c r="N37" s="20">
        <f t="shared" si="21"/>
        <v>4.6423761898894966E-4</v>
      </c>
      <c r="O37" s="20">
        <f t="shared" si="14"/>
        <v>2.1551656688452919E-4</v>
      </c>
    </row>
    <row r="38" spans="1:15">
      <c r="A38" s="17">
        <v>5</v>
      </c>
      <c r="B38" s="21">
        <v>264.32984326652041</v>
      </c>
      <c r="C38" s="17">
        <v>1.1689494300787053</v>
      </c>
      <c r="D38" s="36">
        <f t="shared" si="11"/>
        <v>1168.9494300787053</v>
      </c>
      <c r="E38" s="35">
        <f t="shared" si="15"/>
        <v>1.1837732433182657</v>
      </c>
      <c r="F38" s="20">
        <f t="shared" si="16"/>
        <v>-1.4823813239560391E-2</v>
      </c>
      <c r="G38" s="36">
        <v>2.98288868081905</v>
      </c>
      <c r="H38" s="45">
        <f t="shared" si="12"/>
        <v>1174.0797028625148</v>
      </c>
      <c r="I38" s="36">
        <f t="shared" si="17"/>
        <v>2.7995525080024852</v>
      </c>
      <c r="J38" s="35">
        <f t="shared" si="18"/>
        <v>1.1682868966199849</v>
      </c>
      <c r="K38" s="20">
        <f t="shared" si="19"/>
        <v>-6.625334587204712E-4</v>
      </c>
      <c r="L38" s="20">
        <f t="shared" si="13"/>
        <v>4.3895058392411031E-4</v>
      </c>
      <c r="M38" s="17">
        <f t="shared" si="20"/>
        <v>1.1679470717236233</v>
      </c>
      <c r="N38" s="20">
        <f t="shared" si="21"/>
        <v>-1.0023583550820003E-3</v>
      </c>
      <c r="O38" s="20">
        <f t="shared" si="14"/>
        <v>1.0047222720026936E-3</v>
      </c>
    </row>
    <row r="39" spans="1:15">
      <c r="B39" s="21"/>
      <c r="E39" s="37"/>
      <c r="F39" s="38"/>
      <c r="G39" s="20"/>
      <c r="H39" s="20"/>
      <c r="I39" s="20"/>
      <c r="J39" s="35" t="s">
        <v>99</v>
      </c>
      <c r="K39" s="20"/>
      <c r="L39" s="20">
        <f>SUM(L8:L38)</f>
        <v>2.4602975615931771E-3</v>
      </c>
      <c r="N39" s="20"/>
      <c r="O39" s="20">
        <f>SUM(O8:O38)</f>
        <v>4.7626813094881178E-3</v>
      </c>
    </row>
    <row r="40" spans="1:15">
      <c r="B40" s="21"/>
      <c r="C40" s="18"/>
      <c r="D40" s="18"/>
      <c r="E40" s="37"/>
      <c r="G40" s="20"/>
      <c r="H40" s="20"/>
      <c r="I40" s="20"/>
      <c r="J40" s="35"/>
      <c r="K40" s="20"/>
      <c r="L40" s="20"/>
    </row>
    <row r="42" spans="1:15">
      <c r="A42" s="17" t="s">
        <v>94</v>
      </c>
    </row>
    <row r="43" spans="1:15">
      <c r="A43" s="17" t="s">
        <v>95</v>
      </c>
    </row>
    <row r="45" spans="1:15">
      <c r="A45" s="33" t="s">
        <v>96</v>
      </c>
      <c r="B45" s="17">
        <v>58.442500000000003</v>
      </c>
      <c r="C45" s="18" t="s">
        <v>60</v>
      </c>
      <c r="D45" s="18"/>
    </row>
  </sheetData>
  <dataConsolidate/>
  <mergeCells count="5">
    <mergeCell ref="G4:K4"/>
    <mergeCell ref="M4:N4"/>
    <mergeCell ref="G5:I5"/>
    <mergeCell ref="J5:K5"/>
    <mergeCell ref="M5:N5"/>
  </mergeCells>
  <pageMargins left="0.7" right="0.7" top="0.75" bottom="0.75" header="0.3" footer="0.3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2"/>
  <sheetViews>
    <sheetView workbookViewId="0">
      <selection activeCell="C4" sqref="C4"/>
    </sheetView>
  </sheetViews>
  <sheetFormatPr defaultRowHeight="15.75"/>
  <sheetData>
    <row r="1" spans="1:8">
      <c r="A1" s="27" t="s">
        <v>76</v>
      </c>
      <c r="B1" s="27"/>
      <c r="C1" s="27"/>
      <c r="D1" s="27"/>
      <c r="E1" s="27"/>
      <c r="F1" s="27"/>
      <c r="G1" s="27"/>
      <c r="H1" s="27"/>
    </row>
    <row r="2" spans="1:8">
      <c r="A2" s="27" t="s">
        <v>77</v>
      </c>
      <c r="B2" s="27"/>
      <c r="C2" s="27"/>
      <c r="D2" s="27"/>
      <c r="E2" s="27"/>
      <c r="F2" s="27"/>
      <c r="G2" s="27"/>
      <c r="H2" s="27"/>
    </row>
    <row r="6" spans="1:8">
      <c r="A6" s="11" t="s">
        <v>52</v>
      </c>
      <c r="B6" s="11"/>
      <c r="C6" s="11"/>
    </row>
    <row r="7" spans="1:8">
      <c r="A7" t="s">
        <v>36</v>
      </c>
    </row>
    <row r="8" spans="1:8">
      <c r="A8" t="s">
        <v>37</v>
      </c>
    </row>
    <row r="9" spans="1:8">
      <c r="A9" t="s">
        <v>38</v>
      </c>
    </row>
    <row r="11" spans="1:8">
      <c r="A11" t="s">
        <v>31</v>
      </c>
      <c r="B11">
        <v>20</v>
      </c>
      <c r="F11" s="2" t="s">
        <v>3</v>
      </c>
      <c r="G11" s="2" t="s">
        <v>4</v>
      </c>
      <c r="H11" s="2" t="s">
        <v>6</v>
      </c>
    </row>
    <row r="12" spans="1:8">
      <c r="A12" t="s">
        <v>32</v>
      </c>
      <c r="B12">
        <f>999.842594+0.06793952*B11-0.00909529*(B11^2)+0.0001001685*(B11^3)-0.000001120083*(B11^4)+0.000000006536332*(B11^5)</f>
        <v>998.2063193823999</v>
      </c>
      <c r="C12" t="s">
        <v>24</v>
      </c>
      <c r="F12" s="2">
        <v>1</v>
      </c>
      <c r="G12" s="3">
        <f t="shared" ref="G12:G23" si="0">0.000000314721*(F12^2)+0.000718752*F12+0.99834109</f>
        <v>0.99906015672100001</v>
      </c>
      <c r="H12" s="4">
        <f t="shared" ref="H12:H23" si="1">1000*G12-F12</f>
        <v>998.060156721</v>
      </c>
    </row>
    <row r="13" spans="1:8">
      <c r="A13" t="s">
        <v>39</v>
      </c>
      <c r="B13">
        <f>B11+273.15</f>
        <v>293.14999999999998</v>
      </c>
      <c r="F13" s="2">
        <v>4</v>
      </c>
      <c r="G13" s="3">
        <f t="shared" si="0"/>
        <v>1.001221133536</v>
      </c>
      <c r="H13" s="4">
        <f t="shared" si="1"/>
        <v>997.22113353599991</v>
      </c>
    </row>
    <row r="14" spans="1:8">
      <c r="F14" s="2">
        <v>10</v>
      </c>
      <c r="G14" s="3">
        <f t="shared" si="0"/>
        <v>1.0055600821000001</v>
      </c>
      <c r="H14" s="4">
        <f t="shared" si="1"/>
        <v>995.56008210000016</v>
      </c>
    </row>
    <row r="15" spans="1:8">
      <c r="A15" t="s">
        <v>34</v>
      </c>
      <c r="B15" t="s">
        <v>33</v>
      </c>
      <c r="C15" t="s">
        <v>0</v>
      </c>
      <c r="F15" s="2">
        <v>16</v>
      </c>
      <c r="G15" s="3">
        <f t="shared" si="0"/>
        <v>1.009921690576</v>
      </c>
      <c r="H15" s="4">
        <f t="shared" si="1"/>
        <v>993.92169057600006</v>
      </c>
    </row>
    <row r="16" spans="1:8">
      <c r="A16" s="6">
        <v>1</v>
      </c>
      <c r="B16">
        <f t="shared" ref="B16:B27" si="2">$B$12+184.01062+1.04708*A16-1.21061*$B$13+0.000314721*(A16^2)+0.00199*($B$13^2)-0.00112*A16*$B$13</f>
        <v>999.06016037839981</v>
      </c>
      <c r="C16">
        <f t="shared" ref="C16:C27" si="3">(B16)/1000</f>
        <v>0.99906016037839984</v>
      </c>
      <c r="F16" s="2">
        <v>20</v>
      </c>
      <c r="G16" s="3">
        <f t="shared" si="0"/>
        <v>1.0128420184</v>
      </c>
      <c r="H16" s="4">
        <f t="shared" si="1"/>
        <v>992.84201840000003</v>
      </c>
    </row>
    <row r="17" spans="1:8">
      <c r="A17" s="6">
        <v>4</v>
      </c>
      <c r="B17">
        <f t="shared" si="2"/>
        <v>1001.2211371933998</v>
      </c>
      <c r="C17">
        <f t="shared" si="3"/>
        <v>1.0012211371933999</v>
      </c>
      <c r="F17" s="2">
        <v>32</v>
      </c>
      <c r="G17" s="3">
        <f t="shared" si="0"/>
        <v>1.021663428304</v>
      </c>
      <c r="H17" s="4">
        <f t="shared" si="1"/>
        <v>989.66342830400004</v>
      </c>
    </row>
    <row r="18" spans="1:8">
      <c r="A18" s="6">
        <v>10</v>
      </c>
      <c r="B18">
        <f t="shared" si="2"/>
        <v>1005.5600857573999</v>
      </c>
      <c r="C18">
        <f t="shared" si="3"/>
        <v>1.0055600857573999</v>
      </c>
      <c r="F18" s="2">
        <v>64</v>
      </c>
      <c r="G18" s="3">
        <f t="shared" si="0"/>
        <v>1.045630315216</v>
      </c>
      <c r="H18" s="4">
        <f t="shared" si="1"/>
        <v>981.6303152160001</v>
      </c>
    </row>
    <row r="19" spans="1:8">
      <c r="A19" s="6">
        <v>16</v>
      </c>
      <c r="B19">
        <f t="shared" si="2"/>
        <v>1009.9216942333998</v>
      </c>
      <c r="C19">
        <f t="shared" si="3"/>
        <v>1.0099216942333997</v>
      </c>
      <c r="F19" s="8">
        <v>80</v>
      </c>
      <c r="G19" s="9">
        <f t="shared" si="0"/>
        <v>1.0578554644</v>
      </c>
      <c r="H19" s="10">
        <f t="shared" si="1"/>
        <v>977.85546440000007</v>
      </c>
    </row>
    <row r="20" spans="1:8">
      <c r="A20" s="6">
        <v>20</v>
      </c>
      <c r="B20">
        <f t="shared" si="2"/>
        <v>1012.8420220574</v>
      </c>
      <c r="C20">
        <f t="shared" si="3"/>
        <v>1.0128420220573999</v>
      </c>
      <c r="F20" s="2">
        <v>100</v>
      </c>
      <c r="G20" s="3">
        <f t="shared" si="0"/>
        <v>1.0733635000000001</v>
      </c>
      <c r="H20" s="4">
        <f t="shared" si="1"/>
        <v>973.36350000000016</v>
      </c>
    </row>
    <row r="21" spans="1:8">
      <c r="A21" s="6">
        <v>32</v>
      </c>
      <c r="B21">
        <f t="shared" si="2"/>
        <v>1021.6634319614</v>
      </c>
      <c r="C21">
        <f t="shared" si="3"/>
        <v>1.0216634319614</v>
      </c>
      <c r="F21" s="2">
        <v>128</v>
      </c>
      <c r="G21" s="3">
        <f t="shared" si="0"/>
        <v>1.095497734864</v>
      </c>
      <c r="H21" s="4">
        <f t="shared" si="1"/>
        <v>967.49773486399999</v>
      </c>
    </row>
    <row r="22" spans="1:8">
      <c r="A22" s="6">
        <v>64</v>
      </c>
      <c r="B22">
        <f t="shared" si="2"/>
        <v>1045.6303188734</v>
      </c>
      <c r="C22">
        <f t="shared" si="3"/>
        <v>1.0456303188734</v>
      </c>
      <c r="F22" s="2">
        <v>200</v>
      </c>
      <c r="G22" s="3">
        <f t="shared" si="0"/>
        <v>1.1546803300000001</v>
      </c>
      <c r="H22" s="4">
        <f t="shared" si="1"/>
        <v>954.68033000000014</v>
      </c>
    </row>
    <row r="23" spans="1:8">
      <c r="A23" s="6">
        <v>80</v>
      </c>
      <c r="B23">
        <f t="shared" si="2"/>
        <v>1057.8554680574</v>
      </c>
      <c r="C23">
        <f t="shared" si="3"/>
        <v>1.0578554680573999</v>
      </c>
      <c r="F23" s="2">
        <v>256</v>
      </c>
      <c r="G23" s="3">
        <f t="shared" si="0"/>
        <v>1.2029671574560001</v>
      </c>
      <c r="H23" s="4">
        <f t="shared" si="1"/>
        <v>946.96715745600022</v>
      </c>
    </row>
    <row r="24" spans="1:8">
      <c r="A24" s="6">
        <v>100</v>
      </c>
      <c r="B24">
        <f t="shared" si="2"/>
        <v>1073.3635036574001</v>
      </c>
      <c r="C24">
        <f t="shared" si="3"/>
        <v>1.0733635036574001</v>
      </c>
    </row>
    <row r="25" spans="1:8">
      <c r="A25" s="6">
        <v>128</v>
      </c>
      <c r="B25">
        <f t="shared" si="2"/>
        <v>1095.4977385213997</v>
      </c>
      <c r="C25">
        <f t="shared" si="3"/>
        <v>1.0954977385213998</v>
      </c>
    </row>
    <row r="26" spans="1:8">
      <c r="A26" s="6">
        <v>200</v>
      </c>
      <c r="B26">
        <f t="shared" si="2"/>
        <v>1154.6803336573996</v>
      </c>
      <c r="C26">
        <f t="shared" si="3"/>
        <v>1.1546803336573996</v>
      </c>
    </row>
    <row r="27" spans="1:8">
      <c r="A27" s="6">
        <v>256</v>
      </c>
      <c r="B27">
        <f t="shared" si="2"/>
        <v>1202.9671611133999</v>
      </c>
      <c r="C27">
        <f t="shared" si="3"/>
        <v>1.2029671611133999</v>
      </c>
    </row>
    <row r="28" spans="1:8">
      <c r="B28" s="1"/>
    </row>
    <row r="29" spans="1:8">
      <c r="B29" s="1"/>
    </row>
    <row r="30" spans="1:8">
      <c r="B30" s="1"/>
    </row>
    <row r="43" spans="1:8">
      <c r="A43" s="11" t="s">
        <v>53</v>
      </c>
      <c r="B43" s="11"/>
      <c r="C43" s="11"/>
    </row>
    <row r="44" spans="1:8">
      <c r="A44" t="s">
        <v>26</v>
      </c>
      <c r="G44" t="s">
        <v>29</v>
      </c>
    </row>
    <row r="45" spans="1:8">
      <c r="A45" t="s">
        <v>27</v>
      </c>
    </row>
    <row r="46" spans="1:8">
      <c r="A46" t="s">
        <v>25</v>
      </c>
      <c r="B46" t="s">
        <v>28</v>
      </c>
      <c r="C46" t="s">
        <v>0</v>
      </c>
      <c r="F46" s="2" t="s">
        <v>3</v>
      </c>
      <c r="G46" s="2" t="s">
        <v>4</v>
      </c>
      <c r="H46" s="2" t="s">
        <v>6</v>
      </c>
    </row>
    <row r="47" spans="1:8">
      <c r="A47" s="6">
        <v>8.6069999999999993</v>
      </c>
      <c r="B47">
        <v>6.5010000000000003</v>
      </c>
      <c r="C47">
        <f>(1000+B47)/1000</f>
        <v>1.0065009999999999</v>
      </c>
      <c r="F47" s="2">
        <v>1</v>
      </c>
      <c r="G47" s="3">
        <f t="shared" ref="G47:G58" si="4">0.0000000082983796*(F47^2)+0.00075301862*F47+1.000002</f>
        <v>1.0007550269183796</v>
      </c>
      <c r="H47" s="4">
        <f t="shared" ref="H47:H58" si="5">1000*G47-F47</f>
        <v>999.7550269183796</v>
      </c>
    </row>
    <row r="48" spans="1:8">
      <c r="A48" s="6">
        <v>10.943</v>
      </c>
      <c r="B48">
        <v>8.2629999999999999</v>
      </c>
      <c r="C48">
        <f>(1000+B48)/1000</f>
        <v>1.0082630000000001</v>
      </c>
      <c r="F48" s="2">
        <v>4</v>
      </c>
      <c r="G48" s="3">
        <f t="shared" si="4"/>
        <v>1.0030142072540738</v>
      </c>
      <c r="H48" s="4">
        <f t="shared" si="5"/>
        <v>999.01420725407377</v>
      </c>
    </row>
    <row r="49" spans="1:8">
      <c r="A49" s="6">
        <v>15.741</v>
      </c>
      <c r="B49">
        <v>11.872999999999999</v>
      </c>
      <c r="C49">
        <f>(1000+B49)/1000</f>
        <v>1.011873</v>
      </c>
      <c r="F49" s="2">
        <v>10</v>
      </c>
      <c r="G49" s="3">
        <f t="shared" si="4"/>
        <v>1.0075330160379601</v>
      </c>
      <c r="H49" s="4">
        <f t="shared" si="5"/>
        <v>997.53301603796012</v>
      </c>
    </row>
    <row r="50" spans="1:8">
      <c r="A50" s="7">
        <v>17.706</v>
      </c>
      <c r="B50">
        <v>13.356999999999999</v>
      </c>
      <c r="C50">
        <f>(1000+B50)/1000</f>
        <v>1.0133570000000001</v>
      </c>
      <c r="F50" s="2">
        <v>16</v>
      </c>
      <c r="G50" s="3">
        <f t="shared" si="4"/>
        <v>1.0120524223051777</v>
      </c>
      <c r="H50" s="4">
        <f t="shared" si="5"/>
        <v>996.05242230517763</v>
      </c>
    </row>
    <row r="51" spans="1:8">
      <c r="A51" s="7">
        <v>22.93</v>
      </c>
      <c r="B51">
        <v>17.291</v>
      </c>
      <c r="C51">
        <f>(1000+B51)/1000</f>
        <v>1.0172909999999999</v>
      </c>
      <c r="F51" s="2">
        <v>20</v>
      </c>
      <c r="G51" s="3">
        <f t="shared" si="4"/>
        <v>1.0150656917518401</v>
      </c>
      <c r="H51" s="4">
        <f t="shared" si="5"/>
        <v>995.06569175184018</v>
      </c>
    </row>
    <row r="52" spans="1:8">
      <c r="A52" s="6"/>
      <c r="F52" s="2">
        <v>32</v>
      </c>
      <c r="G52" s="3">
        <f t="shared" si="4"/>
        <v>1.0241070933807104</v>
      </c>
      <c r="H52" s="4">
        <f t="shared" si="5"/>
        <v>992.10709338071047</v>
      </c>
    </row>
    <row r="53" spans="1:8">
      <c r="A53" s="6"/>
      <c r="F53" s="2">
        <v>64</v>
      </c>
      <c r="G53" s="3">
        <f t="shared" si="4"/>
        <v>1.0482291818428418</v>
      </c>
      <c r="H53" s="4">
        <f t="shared" si="5"/>
        <v>984.22918184284185</v>
      </c>
    </row>
    <row r="54" spans="1:8">
      <c r="A54" s="6"/>
      <c r="F54" s="8">
        <v>80</v>
      </c>
      <c r="G54" s="9">
        <f t="shared" si="4"/>
        <v>1.06029659922944</v>
      </c>
      <c r="H54" s="10">
        <f t="shared" si="5"/>
        <v>980.29659922944006</v>
      </c>
    </row>
    <row r="55" spans="1:8">
      <c r="A55" s="6"/>
      <c r="F55" s="2">
        <v>100</v>
      </c>
      <c r="G55" s="3">
        <f t="shared" si="4"/>
        <v>1.0753868457960001</v>
      </c>
      <c r="H55" s="4">
        <f t="shared" si="5"/>
        <v>975.38684579599999</v>
      </c>
    </row>
    <row r="56" spans="1:8">
      <c r="A56" s="6"/>
      <c r="B56" s="1"/>
      <c r="F56" s="2">
        <v>128</v>
      </c>
      <c r="G56" s="3">
        <f t="shared" si="4"/>
        <v>1.0965243440113666</v>
      </c>
      <c r="H56" s="4">
        <f t="shared" si="5"/>
        <v>968.52434401136657</v>
      </c>
    </row>
    <row r="57" spans="1:8">
      <c r="A57" s="6"/>
      <c r="B57" s="1"/>
      <c r="F57" s="2">
        <v>200</v>
      </c>
      <c r="G57" s="3">
        <f t="shared" si="4"/>
        <v>1.1509376591840002</v>
      </c>
      <c r="H57" s="4">
        <f t="shared" si="5"/>
        <v>950.93765918400004</v>
      </c>
    </row>
    <row r="58" spans="1:8">
      <c r="A58" s="6"/>
      <c r="B58" s="1"/>
      <c r="F58" s="2">
        <v>256</v>
      </c>
      <c r="G58" s="3">
        <f t="shared" si="4"/>
        <v>1.1933186093254657</v>
      </c>
      <c r="H58" s="4">
        <f t="shared" si="5"/>
        <v>937.31860932546579</v>
      </c>
    </row>
    <row r="59" spans="1:8">
      <c r="B59" s="1"/>
    </row>
    <row r="60" spans="1:8">
      <c r="B60" s="1"/>
    </row>
    <row r="61" spans="1:8">
      <c r="B61" s="1"/>
    </row>
    <row r="62" spans="1:8">
      <c r="B62" s="1"/>
    </row>
    <row r="63" spans="1:8">
      <c r="B63" s="1"/>
    </row>
    <row r="64" spans="1:8">
      <c r="B64" s="1"/>
    </row>
    <row r="65" spans="1:6">
      <c r="B65" s="1"/>
    </row>
    <row r="78" spans="1:6">
      <c r="A78" s="11" t="s">
        <v>54</v>
      </c>
      <c r="B78" s="11"/>
      <c r="C78" s="11"/>
    </row>
    <row r="79" spans="1:6">
      <c r="A79" s="12" t="s">
        <v>55</v>
      </c>
      <c r="B79" s="12"/>
      <c r="C79" s="12"/>
      <c r="D79" s="12"/>
      <c r="E79" s="12"/>
      <c r="F79" s="12"/>
    </row>
    <row r="80" spans="1:6">
      <c r="A80" s="12" t="s">
        <v>8</v>
      </c>
      <c r="B80" s="12"/>
      <c r="C80" s="12"/>
      <c r="D80" s="12"/>
      <c r="E80" s="12"/>
    </row>
    <row r="81" spans="1:11">
      <c r="A81" s="12"/>
      <c r="B81" s="12"/>
      <c r="C81" s="12"/>
      <c r="D81" s="12"/>
      <c r="E81" s="12"/>
    </row>
    <row r="82" spans="1:11">
      <c r="A82" t="s">
        <v>49</v>
      </c>
      <c r="I82" t="s">
        <v>5</v>
      </c>
    </row>
    <row r="83" spans="1:11">
      <c r="A83" s="13" t="s">
        <v>45</v>
      </c>
      <c r="B83" s="13" t="s">
        <v>46</v>
      </c>
      <c r="C83" s="13" t="s">
        <v>46</v>
      </c>
    </row>
    <row r="84" spans="1:11">
      <c r="A84" s="13" t="s">
        <v>1</v>
      </c>
      <c r="B84" s="13" t="s">
        <v>24</v>
      </c>
      <c r="C84" s="13" t="s">
        <v>0</v>
      </c>
      <c r="I84" s="2" t="s">
        <v>3</v>
      </c>
      <c r="J84" s="2" t="s">
        <v>4</v>
      </c>
      <c r="K84" s="2" t="s">
        <v>6</v>
      </c>
    </row>
    <row r="85" spans="1:11">
      <c r="A85" s="13">
        <v>4</v>
      </c>
      <c r="B85" s="13">
        <v>1001.277</v>
      </c>
      <c r="C85" s="13">
        <f>B85/1000</f>
        <v>1.001277</v>
      </c>
      <c r="I85" s="2">
        <v>1</v>
      </c>
      <c r="J85" s="3">
        <f t="shared" ref="J85:J96" si="6">0.00000026*(I85^2)+0.000746*I85+0.998324</f>
        <v>0.99907025999999999</v>
      </c>
      <c r="K85" s="4">
        <f t="shared" ref="K85:K96" si="7">1000*J85-I85</f>
        <v>998.07025999999996</v>
      </c>
    </row>
    <row r="86" spans="1:11">
      <c r="A86" s="13">
        <v>16</v>
      </c>
      <c r="B86" s="13">
        <v>1010.36</v>
      </c>
      <c r="C86" s="13">
        <f>B86/1000</f>
        <v>1.0103599999999999</v>
      </c>
      <c r="I86" s="2">
        <v>4</v>
      </c>
      <c r="J86" s="3">
        <f t="shared" si="6"/>
        <v>1.0013121599999999</v>
      </c>
      <c r="K86" s="4">
        <f t="shared" si="7"/>
        <v>997.31215999999995</v>
      </c>
    </row>
    <row r="87" spans="1:11">
      <c r="A87" s="13">
        <v>32</v>
      </c>
      <c r="B87" s="13">
        <v>1022.504</v>
      </c>
      <c r="C87" s="13">
        <f>B87/1000</f>
        <v>1.0225040000000001</v>
      </c>
      <c r="I87" s="2">
        <v>10</v>
      </c>
      <c r="J87" s="3">
        <f t="shared" si="6"/>
        <v>1.0058100000000001</v>
      </c>
      <c r="K87" s="4">
        <f t="shared" si="7"/>
        <v>995.81000000000006</v>
      </c>
    </row>
    <row r="88" spans="1:11">
      <c r="A88" s="13">
        <v>64</v>
      </c>
      <c r="B88" s="13">
        <v>1047.1120000000001</v>
      </c>
      <c r="C88" s="13">
        <f>B88/1000</f>
        <v>1.047112</v>
      </c>
      <c r="I88" s="2">
        <v>16</v>
      </c>
      <c r="J88" s="3">
        <f t="shared" si="6"/>
        <v>1.01032656</v>
      </c>
      <c r="K88" s="4">
        <f t="shared" si="7"/>
        <v>994.32655999999997</v>
      </c>
    </row>
    <row r="89" spans="1:11">
      <c r="A89" s="13">
        <v>128</v>
      </c>
      <c r="B89" s="13">
        <v>1098.1079999999999</v>
      </c>
      <c r="C89" s="13">
        <f>B89/1000</f>
        <v>1.0981079999999999</v>
      </c>
      <c r="I89" s="2">
        <v>20</v>
      </c>
      <c r="J89" s="3">
        <f t="shared" si="6"/>
        <v>1.0133479999999999</v>
      </c>
      <c r="K89" s="4">
        <f t="shared" si="7"/>
        <v>993.34799999999996</v>
      </c>
    </row>
    <row r="90" spans="1:11">
      <c r="I90" s="2">
        <v>32</v>
      </c>
      <c r="J90" s="3">
        <f t="shared" si="6"/>
        <v>1.0224622400000001</v>
      </c>
      <c r="K90" s="4">
        <f t="shared" si="7"/>
        <v>990.46224000000007</v>
      </c>
    </row>
    <row r="91" spans="1:11">
      <c r="I91" s="2">
        <v>64</v>
      </c>
      <c r="J91" s="3">
        <f t="shared" si="6"/>
        <v>1.0471329599999999</v>
      </c>
      <c r="K91" s="4">
        <f t="shared" si="7"/>
        <v>983.13295999999991</v>
      </c>
    </row>
    <row r="92" spans="1:11">
      <c r="I92" s="8">
        <v>80</v>
      </c>
      <c r="J92" s="9">
        <f t="shared" si="6"/>
        <v>1.0596680000000001</v>
      </c>
      <c r="K92" s="10">
        <f t="shared" si="7"/>
        <v>979.66800000000012</v>
      </c>
    </row>
    <row r="93" spans="1:11">
      <c r="I93" s="2">
        <v>100</v>
      </c>
      <c r="J93" s="3">
        <f t="shared" si="6"/>
        <v>1.0755239999999999</v>
      </c>
      <c r="K93" s="4">
        <f t="shared" si="7"/>
        <v>975.52399999999989</v>
      </c>
    </row>
    <row r="94" spans="1:11">
      <c r="I94" s="2">
        <v>128</v>
      </c>
      <c r="J94" s="3">
        <f t="shared" si="6"/>
        <v>1.09807184</v>
      </c>
      <c r="K94" s="4">
        <f t="shared" si="7"/>
        <v>970.07184000000007</v>
      </c>
    </row>
    <row r="95" spans="1:11">
      <c r="I95" s="2">
        <v>200</v>
      </c>
      <c r="J95" s="3">
        <f t="shared" si="6"/>
        <v>1.157924</v>
      </c>
      <c r="K95" s="4">
        <f t="shared" si="7"/>
        <v>957.92399999999998</v>
      </c>
    </row>
    <row r="96" spans="1:11">
      <c r="I96" s="2">
        <v>256</v>
      </c>
      <c r="J96" s="3">
        <f t="shared" si="6"/>
        <v>1.2063393600000001</v>
      </c>
      <c r="K96" s="4">
        <f t="shared" si="7"/>
        <v>950.33936000000017</v>
      </c>
    </row>
    <row r="108" spans="1:8">
      <c r="A108" s="11" t="s">
        <v>56</v>
      </c>
      <c r="B108" s="11"/>
      <c r="F108" t="s">
        <v>5</v>
      </c>
    </row>
    <row r="109" spans="1:8">
      <c r="A109" t="s">
        <v>19</v>
      </c>
    </row>
    <row r="110" spans="1:8">
      <c r="A110" t="s">
        <v>41</v>
      </c>
    </row>
    <row r="112" spans="1:8">
      <c r="A112" t="s">
        <v>10</v>
      </c>
      <c r="F112" s="2" t="s">
        <v>3</v>
      </c>
      <c r="G112" s="2" t="s">
        <v>4</v>
      </c>
      <c r="H112" s="2" t="s">
        <v>6</v>
      </c>
    </row>
    <row r="113" spans="1:8">
      <c r="A113" t="s">
        <v>11</v>
      </c>
      <c r="F113" s="2">
        <v>1</v>
      </c>
      <c r="G113" s="3">
        <f t="shared" ref="G113:G124" si="8">0.00000031878*(F113^2)+0.00073913407*F113+0.99838139</f>
        <v>0.99912084285000002</v>
      </c>
      <c r="H113" s="4">
        <f t="shared" ref="H113:H124" si="9">1000*G113-F113</f>
        <v>998.12084285000003</v>
      </c>
    </row>
    <row r="114" spans="1:8">
      <c r="A114" t="s">
        <v>12</v>
      </c>
      <c r="F114" s="2">
        <v>4</v>
      </c>
      <c r="G114" s="3">
        <f t="shared" si="8"/>
        <v>1.0013430267600001</v>
      </c>
      <c r="H114" s="4">
        <f t="shared" si="9"/>
        <v>997.34302676000004</v>
      </c>
    </row>
    <row r="115" spans="1:8">
      <c r="A115" t="s">
        <v>13</v>
      </c>
      <c r="F115" s="2">
        <v>10</v>
      </c>
      <c r="G115" s="3">
        <f t="shared" si="8"/>
        <v>1.0058046087000001</v>
      </c>
      <c r="H115" s="4">
        <f t="shared" si="9"/>
        <v>995.80460870000013</v>
      </c>
    </row>
    <row r="116" spans="1:8">
      <c r="A116" t="s">
        <v>14</v>
      </c>
      <c r="F116" s="2">
        <v>16</v>
      </c>
      <c r="G116" s="3">
        <f t="shared" si="8"/>
        <v>1.0102891428</v>
      </c>
      <c r="H116" s="4">
        <f t="shared" si="9"/>
        <v>994.28914280000004</v>
      </c>
    </row>
    <row r="117" spans="1:8">
      <c r="F117" s="2">
        <v>20</v>
      </c>
      <c r="G117" s="3">
        <f t="shared" si="8"/>
        <v>1.0132915834</v>
      </c>
      <c r="H117" s="4">
        <f t="shared" si="9"/>
        <v>993.29158340000004</v>
      </c>
    </row>
    <row r="118" spans="1:8">
      <c r="A118" t="s">
        <v>15</v>
      </c>
      <c r="F118" s="2">
        <v>32</v>
      </c>
      <c r="G118" s="3">
        <f t="shared" si="8"/>
        <v>1.02236011096</v>
      </c>
      <c r="H118" s="4">
        <f t="shared" si="9"/>
        <v>990.36011096000004</v>
      </c>
    </row>
    <row r="119" spans="1:8">
      <c r="A119" t="s">
        <v>16</v>
      </c>
      <c r="F119" s="2">
        <v>64</v>
      </c>
      <c r="G119" s="3">
        <f t="shared" si="8"/>
        <v>1.0469916933600001</v>
      </c>
      <c r="H119" s="4">
        <f t="shared" si="9"/>
        <v>982.99169336</v>
      </c>
    </row>
    <row r="120" spans="1:8">
      <c r="A120" t="s">
        <v>17</v>
      </c>
      <c r="F120" s="8">
        <v>80</v>
      </c>
      <c r="G120" s="9">
        <f t="shared" si="8"/>
        <v>1.0595523076</v>
      </c>
      <c r="H120" s="10">
        <f t="shared" si="9"/>
        <v>979.55230759999995</v>
      </c>
    </row>
    <row r="121" spans="1:8">
      <c r="F121" s="2">
        <v>100</v>
      </c>
      <c r="G121" s="3">
        <f t="shared" si="8"/>
        <v>1.0754825970000002</v>
      </c>
      <c r="H121" s="4">
        <f t="shared" si="9"/>
        <v>975.48259700000017</v>
      </c>
    </row>
    <row r="122" spans="1:8">
      <c r="A122" t="s">
        <v>18</v>
      </c>
      <c r="F122" s="2">
        <v>128</v>
      </c>
      <c r="G122" s="3">
        <f t="shared" si="8"/>
        <v>1.0982134424800001</v>
      </c>
      <c r="H122" s="4">
        <f t="shared" si="9"/>
        <v>970.21344248000014</v>
      </c>
    </row>
    <row r="123" spans="1:8">
      <c r="F123" s="2">
        <v>200</v>
      </c>
      <c r="G123" s="3">
        <f t="shared" si="8"/>
        <v>1.158959404</v>
      </c>
      <c r="H123" s="4">
        <f t="shared" si="9"/>
        <v>958.95940399999995</v>
      </c>
    </row>
    <row r="124" spans="1:8">
      <c r="F124" s="2">
        <v>256</v>
      </c>
      <c r="G124" s="3">
        <f t="shared" si="8"/>
        <v>1.2084912780000001</v>
      </c>
      <c r="H124" s="4">
        <f t="shared" si="9"/>
        <v>952.49127800000019</v>
      </c>
    </row>
    <row r="126" spans="1:8">
      <c r="A126" t="s">
        <v>9</v>
      </c>
    </row>
    <row r="127" spans="1:8">
      <c r="A127" t="s">
        <v>9</v>
      </c>
    </row>
    <row r="129" spans="1:2">
      <c r="A129" t="s">
        <v>7</v>
      </c>
    </row>
    <row r="130" spans="1:2">
      <c r="A130" t="s">
        <v>42</v>
      </c>
      <c r="B130" t="s">
        <v>2</v>
      </c>
    </row>
    <row r="131" spans="1:2">
      <c r="A131">
        <v>1</v>
      </c>
      <c r="B131">
        <v>0.999</v>
      </c>
    </row>
    <row r="132" spans="1:2">
      <c r="A132">
        <v>4</v>
      </c>
      <c r="B132">
        <v>1.0012000000000001</v>
      </c>
    </row>
    <row r="133" spans="1:2">
      <c r="A133">
        <v>10</v>
      </c>
      <c r="B133">
        <v>1.0058</v>
      </c>
    </row>
    <row r="134" spans="1:2">
      <c r="A134">
        <v>16</v>
      </c>
      <c r="B134">
        <v>1.0103</v>
      </c>
    </row>
    <row r="135" spans="1:2">
      <c r="A135">
        <v>20</v>
      </c>
      <c r="B135">
        <v>1.0134000000000001</v>
      </c>
    </row>
    <row r="136" spans="1:2">
      <c r="A136">
        <v>32</v>
      </c>
      <c r="B136">
        <v>1.0225</v>
      </c>
    </row>
    <row r="137" spans="1:2">
      <c r="A137">
        <v>64</v>
      </c>
      <c r="B137">
        <v>1.0470999999999999</v>
      </c>
    </row>
    <row r="138" spans="1:2">
      <c r="A138">
        <v>80</v>
      </c>
      <c r="B138">
        <v>1.0596000000000001</v>
      </c>
    </row>
    <row r="139" spans="1:2">
      <c r="A139">
        <v>100</v>
      </c>
      <c r="B139">
        <v>1.0754999999999999</v>
      </c>
    </row>
    <row r="140" spans="1:2">
      <c r="A140">
        <v>128</v>
      </c>
      <c r="B140">
        <v>1.0981000000000001</v>
      </c>
    </row>
    <row r="141" spans="1:2">
      <c r="A141">
        <v>200</v>
      </c>
      <c r="B141">
        <v>1.1588000000000001</v>
      </c>
    </row>
    <row r="142" spans="1:2">
      <c r="A142">
        <v>256</v>
      </c>
      <c r="B142">
        <v>1.2085999999999999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1.Sea Water</vt:lpstr>
      <vt:lpstr>2.NaCl</vt:lpstr>
      <vt:lpstr>3. NaCl Density fit</vt:lpstr>
      <vt:lpstr>4. SeaWater Density fit</vt:lpstr>
      <vt:lpstr>5. SeaWater Viscosity fit</vt:lpstr>
      <vt:lpstr>X. Amy's NaCl Cal. don't use</vt:lpstr>
      <vt:lpstr>x. Other datasets - dont use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Marjanovic</dc:creator>
  <cp:lastModifiedBy>Amy Adams</cp:lastModifiedBy>
  <cp:lastPrinted>2012-09-10T20:10:06Z</cp:lastPrinted>
  <dcterms:created xsi:type="dcterms:W3CDTF">2012-09-07T15:42:27Z</dcterms:created>
  <dcterms:modified xsi:type="dcterms:W3CDTF">2012-11-19T16:31:24Z</dcterms:modified>
</cp:coreProperties>
</file>